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5480" windowHeight="10380" activeTab="0"/>
  </bookViews>
  <sheets>
    <sheet name="дод.6 " sheetId="1" r:id="rId1"/>
  </sheets>
  <definedNames>
    <definedName name="_xlnm.Print_Titles" localSheetId="0">'дод.6 '!$16:$16</definedName>
  </definedNames>
  <calcPr fullCalcOnLoad="1"/>
</workbook>
</file>

<file path=xl/sharedStrings.xml><?xml version="1.0" encoding="utf-8"?>
<sst xmlns="http://schemas.openxmlformats.org/spreadsheetml/2006/main" count="1031" uniqueCount="948">
  <si>
    <t>Реконструкція приміщення дошкільного навчального закладу (ясла-садок) №90 ЧМР</t>
  </si>
  <si>
    <t>Реконструкція мереж зовнішнього освітлення прибудинкової території житлових будинків по вул. Гагаріна 49,51</t>
  </si>
  <si>
    <t>Реконструкція мереж зовнішнього освітлення біля будинків 91,93, 95 по вул.Котовського (з ПКД)</t>
  </si>
  <si>
    <t>Реконструкція мереж зовнішнього освітлення вул. Б.Хмельницького  (від вул.Г. Дніпра до вул.Гагаріна) (з ПКД)</t>
  </si>
  <si>
    <t>Реконструкція мереж зовнішнього освітлення із застосуванням енергозберігаючих технологій по вул. Гагаріна (з ПКД)</t>
  </si>
  <si>
    <t>Придбання та встановлення серверу (комп'ютера) для забезпечення функціонування підсистеми електронного урядування</t>
  </si>
  <si>
    <t>Реконструкція спортивного майданчику по вул. Благовісній (біля житлового будинку №308) в м. Черкаси</t>
  </si>
  <si>
    <t>Реконструкція спортивного майданчика по вул. Орджонікідзе, 147, м. Черкаси (з ПКД)</t>
  </si>
  <si>
    <t>Встановлення пам'ятного знаку Луці Кримському в місті Черкасах</t>
  </si>
  <si>
    <t>Реконструкція частини приміщення ЗОШ № 29 під амбулаторію сімейного типу (з ПКД)</t>
  </si>
  <si>
    <t>Реконструкція будівлі по бул. Шевченка, 307 (перший поверх  для розміщення Центру надання адміністративних послуг) в м. Черкаси</t>
  </si>
  <si>
    <t>Будівництво полігону твердих побутових відходів в районі с. Руська Поляна (з ПКД)</t>
  </si>
  <si>
    <t>Реконструкція спортивного майданчика в межах території будинків по вул. В. Чорновола, 120/2 та вул. Радянська, 37 м. Черкаси (з ПКД)</t>
  </si>
  <si>
    <t xml:space="preserve"> Капітальний ремонт гуртожитку по вул. Одеська,8-а (покрівля) (з ПКД) (кредиторська заборгованість 2014 року)</t>
  </si>
  <si>
    <t>Капітальний ремонт приміщень (покрівля) Черкаської загальноосвітньої школи І-ІІІ ступенів № 7 (з ПКД)</t>
  </si>
  <si>
    <t xml:space="preserve">Капітальний ремонт тротуару по вул. Корольова (парна сторона,від вул. Сумгаїтської до квартального проїзду буд.№14 та №16) </t>
  </si>
  <si>
    <t xml:space="preserve"> Внески в статутний капітал  КП "Черкасиводоканал", у т.ч.:</t>
  </si>
  <si>
    <t>Капітальний ремонт башти Шухова (роботи розпочаті у 2014 році)</t>
  </si>
  <si>
    <t>Придбання насосів (2шт.) з багатоканальним ротором  та шафи управління для реконструкції фонтану на пл. 700-річчя м. Черкаси</t>
  </si>
  <si>
    <t xml:space="preserve"> Внески в статутний капітал  КП "Міськсвітло", у т.ч.:</t>
  </si>
  <si>
    <t>Другий етап введення модулів Медичної інформаційної системи (МІС) КНП "Четверта Черкаська міська поліклініка" ЧМР</t>
  </si>
  <si>
    <t>Придбання обладнання для стерилізації:</t>
  </si>
  <si>
    <t>200600</t>
  </si>
  <si>
    <t>Капітальний ремонт приміщень КЗ "Черкаський міський пологовий будинок "Центр матері та дитини" (санвузли для людей з обмеженими фізичними можливостями) по вулиці Чехова 101 м.Черкаси (з розробкою ПКД)</t>
  </si>
  <si>
    <t xml:space="preserve">на реконструкцію спортивного майданчика № ІІ  у багатофункціональний з поліуритановим покриттям  КП "Центральний стадіон" м.Черкаси, вул. Смілянська,78 </t>
  </si>
  <si>
    <t>на капітальний ремонт частини трибун для глядачів (пішохідної доріжки)   на центральній арені  КП "Центральний стадіон" (з  ПКД) м. Черкаси вул.Смілянська,78</t>
  </si>
  <si>
    <t>Придбання лабораторного обладнання для Черкаської міської дитячої лікарні (напівавтоматичний біохімічний аналізатор, водяний термостат)</t>
  </si>
  <si>
    <t>Придбання обладнання для архівного відділу у приміщенні за адресою: вул.Благовісна, 170</t>
  </si>
  <si>
    <t>Придбання обладнання для запровадження системи електронного документообігу</t>
  </si>
  <si>
    <t>Капітальний ремонт у приміщеннях комітетів самоорганізації населення міста Черкаси</t>
  </si>
  <si>
    <t>Придбання комп`ютерної, копіювальної техніки та засобів електронного зв`язку</t>
  </si>
  <si>
    <t>Реконструкція (комплексна) пішохідної алеї в мікрорайоні "Митниця-1" (від вул. Героїв Дніпра до житлового будинку по вул. Героїв Дніпра, 25а) (завершення робіт, що розпочаті в попередньому періоду)</t>
  </si>
  <si>
    <t xml:space="preserve">Придбання нового рухомого складу міського електротранспорту </t>
  </si>
  <si>
    <t>Придбання елементів контактної мережі</t>
  </si>
  <si>
    <t>Капітальний ремонт вул. Байди Вишневецького від Замкового узвозу до вул. Хрещатик</t>
  </si>
  <si>
    <t>Капітальний ремонт приміщень (санвузли) КДЮСШ №2 (з ПКД)</t>
  </si>
  <si>
    <t>Придбання спортивного інвентарю та обладнання для ДЮСШ міста</t>
  </si>
  <si>
    <t>Придбання апарату для ультразвукової терапії МИТ-11 у фізіотерапевтичне відділення КНП "Перша Черкаська міська лікарня" (за рахунок субвенції з обласного бюджету)</t>
  </si>
  <si>
    <t>Капітальний ремонт житлового фонду об'єднань співвласників багатоквартирних будинків</t>
  </si>
  <si>
    <t>Разом видатків на поточний рік</t>
  </si>
  <si>
    <t>Капітальний ремонт аварійних електромереж ( з ПКД) :</t>
  </si>
  <si>
    <t>ДНЗ № 57 (кредиторська заборгованість 2014 року)</t>
  </si>
  <si>
    <t>Капітальний ремонт  приміщень Комплексної дитячо-юнацької спортивної школи №1 вул. Смілянська, 94 (з ПКД)</t>
  </si>
  <si>
    <t>Придбання стрілецьких тренажерів для КДЮСШ № 2 Черкаської міської ради</t>
  </si>
  <si>
    <t xml:space="preserve">Реконструкція мереж зовнішнього освітлення прибудинкової території житлових будинків № 5, 7, 9, 9/1, 11, 13 по вул. Гайдара </t>
  </si>
  <si>
    <t>Реконструкція мереж зовнішнього освітлення прибудинкової території житлових будинків № 42-45 по вул.Чигиринська</t>
  </si>
  <si>
    <t>Реконструкція мереж зовнішнього освітлення прибудинкової території житлового будинку № 469 по вул. Благовісній</t>
  </si>
  <si>
    <t xml:space="preserve"> Внески в статутний капітал КП "Соснівська СУБ", у т.ч.:</t>
  </si>
  <si>
    <t>Придбання та встановлення елементів на дитячому майданчику за адресою вул. Ярослава Галана, 19</t>
  </si>
  <si>
    <t>Надання співфінансування  ОСББ  на виконані капітальні ремонти у 2014 році</t>
  </si>
  <si>
    <t xml:space="preserve">Придбання надувних човнів  для проведення аварійно-рятувальних робіт КУ "Черкаська міська комунальна аварійно - рятувальна служба" </t>
  </si>
  <si>
    <t>Придбання обладнання для  КНП "Друга Черкаська міська лікарня відновного лікування" в рамках міської програми розвитку паліативної допомоги у м.Черкаси на 2013-2015 роки:</t>
  </si>
  <si>
    <t>Капітальний ремонт гуртожитку по вул. Одеська,8/1 (покрівля) (з ПКД) (кредиторська заборгованість 2014 року)</t>
  </si>
  <si>
    <t>Внески в статутний капітал КП "Черкаська служба чистоти", у т.ч.:</t>
  </si>
  <si>
    <t>Будівництво контейнерного майданчика по вул. Пастерівській</t>
  </si>
  <si>
    <t xml:space="preserve"> Внески в статутний капітал  КП "Комбінат комунальних підприємств", у т.ч.:</t>
  </si>
  <si>
    <t xml:space="preserve"> Внески в статутний капітал  КП "ЧЕЛУАШ", у т.ч.:</t>
  </si>
  <si>
    <t>Реконструкція спортивного майданчика по вул. Пилипенка, 10 м. Черкаси (з ПКД)</t>
  </si>
  <si>
    <t>Придбання комп’ютерів та оргтехніки для міського Будинку культури ім.Івана Кулика</t>
  </si>
  <si>
    <t>Придбання звукової апаратури для Черкаського міського Будинку культури ім.Івана Кулика</t>
  </si>
  <si>
    <t>Будівництво зливової напірної каналізації  по вул. Смілянській від накопичувальних басейнів (між вул. Хоменка та вул. Вернигори) до перехрестя з вул. Вернігори</t>
  </si>
  <si>
    <t>Придбання контейнерів для роздільного збору твердих побутових відходів</t>
  </si>
  <si>
    <t>Капітальний ремонт адміністративної будівлі по бул. Шевченка, 117  (з ПКД) (кредиторська заборгованість 2014 року)</t>
  </si>
  <si>
    <t>Капітальний ремонт адміністративної будівлі по бул. Шевченка, 307 (з ПКД) (кредиторська заборгованість 2014 року)</t>
  </si>
  <si>
    <t>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(кредиторська заборгованість 2014 року)</t>
  </si>
  <si>
    <t>Організація та проведення аукціонів по продажу землі та права користування нею (кредиторська заборгованість 2014 року)</t>
  </si>
  <si>
    <t xml:space="preserve">Програма управління  об'єктами комунальної власності територіальної громади міста Черкаси на 2012-2016 роки, в т.ч.: </t>
  </si>
  <si>
    <t>Придбання та встановлення лічильника тепла будівлі по бул.Шевченка, 117 (кредиторська заборгованість 2014 року)</t>
  </si>
  <si>
    <t xml:space="preserve">Програма підвищення енергоефективності та зменшення споживання енергоресурсів у місті Черкасах на 2012-2015 роки, в т.ч.: </t>
  </si>
  <si>
    <t>Капітальний  ремонт асфальтного покриття та огорожі КНП ЧМР " Друга Черкаська міська лікарня  відновного лікування" в рамках міської програми розвитку паліативної допомоги у м. Черкаси на 2013-2015 роки (з ПКД) (кредиторська заборгованість 2014 року)</t>
  </si>
  <si>
    <t xml:space="preserve">Органи місцевого самоврядування </t>
  </si>
  <si>
    <t>Капітальний ремонт системи опалення та частини даху приміщення архівного відділу за адресою вул. Благовісна, 170 (кредиторська заборгованість 2014 року)</t>
  </si>
  <si>
    <t>0910</t>
  </si>
  <si>
    <t>ДНЗ № 37 (кредиторська заборгованість 2014 року)</t>
  </si>
  <si>
    <t>Капітальний ремонт приміщень ДНЗ міста ( з ПКД), у т.ч.:</t>
  </si>
  <si>
    <t>Придбання обладнання для КЗ "Черкаський міський пологовий будинок "Центр матері та дитини"</t>
  </si>
  <si>
    <t xml:space="preserve"> - апарат для неінвазивної респіраторної підтримки</t>
  </si>
  <si>
    <t xml:space="preserve"> - апарат ШВЛ для новонароджених</t>
  </si>
  <si>
    <t xml:space="preserve"> - білірубінометри</t>
  </si>
  <si>
    <t xml:space="preserve"> - гістероскоп</t>
  </si>
  <si>
    <t xml:space="preserve"> - інкубатори для новонароджених</t>
  </si>
  <si>
    <t xml:space="preserve"> - електроніж</t>
  </si>
  <si>
    <t xml:space="preserve"> - кардіотокомонітори</t>
  </si>
  <si>
    <t xml:space="preserve"> - кольпоскопи</t>
  </si>
  <si>
    <t xml:space="preserve"> - комп'ютери</t>
  </si>
  <si>
    <t xml:space="preserve"> - опромінювачі фототерапевтичні для новонароджених</t>
  </si>
  <si>
    <t xml:space="preserve"> - пульсоксиметри</t>
  </si>
  <si>
    <t xml:space="preserve"> - лапароскоп</t>
  </si>
  <si>
    <t xml:space="preserve"> - термостат лабораторний</t>
  </si>
  <si>
    <t xml:space="preserve"> - гінекологічні крісла із регульованою висотою сидіння</t>
  </si>
  <si>
    <t>Капітальний ремонт приміщень (заміна вікон)  дошкільного навчального закладу (ясла-садок) № 59</t>
  </si>
  <si>
    <t>Капітальний ремонт будівлі (заміна вікон) КЗ "Третя Черкаська міська лікарня швидкої медичної допомоги"ЧМР ( з розробкою ПКД)</t>
  </si>
  <si>
    <t xml:space="preserve">Капітальний ремонт будівлі КЗ "Черкаський міський пологовий будинок "Центр матері та дитини" (капітальний ремонт та експертне обстеження ліфтів) (з розробкою ПКД) </t>
  </si>
  <si>
    <t>ДНЗ № 32 вул. Благовісна, 235 (кредиторська заборгованість 2014 року)</t>
  </si>
  <si>
    <t>ДНЗ № 33 пров.. Крилова, 7 (кредиторська заборгованість 2014 року)</t>
  </si>
  <si>
    <t>Реконструкція приміщення дошкільного навчального закладу (ясла-садок) № 90 Черкаської міської ради (кредиторська заборгованість 2014 року)</t>
  </si>
  <si>
    <r>
      <t xml:space="preserve">Програма захисту населення м.Черкаси від надзвичайних ситуацій техногенного і природного характеру </t>
    </r>
    <r>
      <rPr>
        <sz val="12"/>
        <rFont val="Times New Roman"/>
        <family val="1"/>
      </rPr>
      <t>на придбання обладнання та предметів довгострокового користування для забеспечення потреб військовослужбовців (кредиторська заборгованість 2014 року)</t>
    </r>
  </si>
  <si>
    <t>Капітальний ремонт приміщень КДЮСШ № 2  за адресою вул. Благовісна, 170 (з ПКД)</t>
  </si>
  <si>
    <t>Капітальний ремонт приміщень (центральний вхід) КДЮСШ №2 (з ПКД)</t>
  </si>
  <si>
    <t xml:space="preserve"> Внески в статутний капітал КП "СУБ "Митниця", у т.ч.:</t>
  </si>
  <si>
    <t xml:space="preserve">Придбання обладнання для спортивного майданчика по вул. Гагаріна, 21 м. Черкаси </t>
  </si>
  <si>
    <t xml:space="preserve">Придбання обладнання для спортивного майданчика по вул. Гагаріна, 37 м. Черкаси </t>
  </si>
  <si>
    <t xml:space="preserve"> Внески в статутний капітал КП "Придніпровська СУБ", у т.ч.:</t>
  </si>
  <si>
    <t>Впровадження ГІС</t>
  </si>
  <si>
    <t>Придбання клієнтського програмного забезпечення та апаратного забезпечення для створення ГІС</t>
  </si>
  <si>
    <t>Реконструкція мереж зовнішнього освітлення прибудинкової території житлових будинків № 33, 35, 37, 39 по вул. Гагаріна</t>
  </si>
  <si>
    <t xml:space="preserve">Реконструкція мереж зовнішнього освітлення прибудинкової території житлових будинків № 81, 83, 85, 87 по вул. Героїв Дніпра </t>
  </si>
  <si>
    <t>Реконструкція мереж зовнішнього освітлення прибудинкової території житлових будинків № 9,11,13,19,21,23 по вул.  Героїв Сталінграда</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</si>
  <si>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</si>
  <si>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пішохідних доріжок по вул. Кірова від бул. Шевченка до вул. Хрещатик в м. Черкаси (непарна сторона), з ПКД</t>
  </si>
  <si>
    <t>070401</t>
  </si>
  <si>
    <t>070804</t>
  </si>
  <si>
    <t>Бібліотеки</t>
  </si>
  <si>
    <t>Капітальний ремонт внутрішньоквартального проїзду з вул. В. Чорновола до буд. 120/1 та буд. 120/2 м. Черкаси</t>
  </si>
  <si>
    <t>Капітальний ремонт адміністративної будівлі по бул.Шевченка, 307 (з ПКД) (кредиторська заборгованість минулих років)</t>
  </si>
  <si>
    <t xml:space="preserve"> - меблі (кредиторська заборгованість 2014 року)</t>
  </si>
  <si>
    <t>3132 - 326,0 т.
3110-74,0 т.</t>
  </si>
  <si>
    <t>Реконструкція системи вентиляції танцювального залу Черкаського міського Будинку культури ім. Івана Кулика (з ПКД)</t>
  </si>
  <si>
    <t xml:space="preserve">Загальноосвітні школи (в т. ч. школа-дитячий садок, інтернат при школі), спеціалізовані школи, ліцеї, гімназії, колегіуми </t>
  </si>
  <si>
    <t>0921</t>
  </si>
  <si>
    <t>Інші заходи у сфері електротранспорту</t>
  </si>
  <si>
    <t>ВСЬОГО</t>
  </si>
  <si>
    <t>091204</t>
  </si>
  <si>
    <t>Палаци і будинки культури, клуби та інші заклади клубного типу</t>
  </si>
  <si>
    <t>Капітальний ремонт покрівлі спеціалізованої школи № 17 та часткова заміна вікон (кредиторська заборгованість минулих років)</t>
  </si>
  <si>
    <t>Капітальний ремонт покрівлі спеціалізованої школи І-ІІІ ступеню № 28 по вул. Гайдара, 3 (з ПКД) та по вул. Сумгаїтська, 22/1 (кредиторська заборгованість минулих років)</t>
  </si>
  <si>
    <t>Реконструкція спортивного майданчика на розі вул. Гвардійська та пров. Гвардійський (з ПКД) (кредиторська заборгованість 2014 року)</t>
  </si>
  <si>
    <t>Реконструкція частини приміщень по вул. Благовісній,170 під міський архів (з ПКД) (кредиторська заборгованість 2014 року)</t>
  </si>
  <si>
    <t>Реконструкція мереж зовнішнього освітлення із застосуванням енергозберігаючих технологій по вул. Котовського (з ПКД)</t>
  </si>
  <si>
    <t>Капітальний ремонт будівлі (фасад) ДНЗ № 55 Лісовий куточок (з ПКД)</t>
  </si>
  <si>
    <t>Програма підвищення ефективності роботи Управління Державної міграційної служби України в Черкаській області, у т.ч.: на придбання комп'ютерної та оргтехніки, картотечних шаф</t>
  </si>
  <si>
    <t>Капітальний ремонт будівлі ДНЗ № 65 "Котигорошко" (зовнішня електромережа) (з ПКД)</t>
  </si>
  <si>
    <t xml:space="preserve">Капітальний ремонт будівлі (заміна вікон) ДНЗ № 81 "Незабудка" (з ПКД) </t>
  </si>
  <si>
    <t>Капітальний ремонт будівлі (заміна вікон) ДНЗ № 90 (з ПКД)</t>
  </si>
  <si>
    <t xml:space="preserve">Капітальний ремонт будівлі (внутрішні мережі водопостачання) ДНЗ № 69 (з ПКД) </t>
  </si>
  <si>
    <t>Капітальний ремонт будівлі (санвузли) ЗОШ № 26 (з ПКД)</t>
  </si>
  <si>
    <t>Капітальний ремонт будівлі СШ № 33 (з ПКД)</t>
  </si>
  <si>
    <t>Капітальний ремонт будівлі СШ № 3 (з ПКД)</t>
  </si>
  <si>
    <t>Капітальний ремонт будівлі (заміна вікон) ЗОШ № 29 (з ПКД)</t>
  </si>
  <si>
    <t>Капітальний ремонт фізіотерапевтичного відділення дитячої поліклініки № 2 КЗ "Черкаська міська дитяча лікарня Черкаської міської ради" (за рахунок субвенції з обласного бюджету)</t>
  </si>
  <si>
    <t>Реконструкція мереж зовнішнього освітлення по вул. Небесної сотні від вул. Хрещатик до вул. Гоголя з використанням енергозберігаючих технологій</t>
  </si>
  <si>
    <t>Капітальний ремонт вул. Небесної сотні від вул. Хрещатик до бул. Шевченка</t>
  </si>
  <si>
    <t>Капітальний ремонт приміщень (заміна вікон) Черкаського міського палацу молоді</t>
  </si>
  <si>
    <t>Придбання музичної апаратури для створення репетиційної бази Черкаський міський палац молоді Черкаської міської ради</t>
  </si>
  <si>
    <t>Капітальний ремонт дошкільного навчального закладу (ясла-садок) санаторного типу №74 "Лісова Пісня" за адресою м. Черкаси вул. Боженко, 14 (приміщення) (з ПКД)</t>
  </si>
  <si>
    <t>Капітальний ремонт ЗОШ І-ІІІ ступенів № 8 Черкаської міської ради (покрівля) (з ПКД)</t>
  </si>
  <si>
    <t>Капітальний ремонт вхідних груп адміністративних будівель по бул.Шевченка 117, 307 (з ПКД)</t>
  </si>
  <si>
    <t>Капітальний ремонт приміщень ДНЗ № 2 (з ПКД)</t>
  </si>
  <si>
    <t>Реконструкція будівель ЧДМШ № 1 ім. М.В.Лисенка (з ПКД)</t>
  </si>
  <si>
    <t>Капітальний ремонт приміщень (покрівля) Черкаського дошкільного навчального закладу (ясла-садок) комбінованого типу №1 "Дюймовочка"</t>
  </si>
  <si>
    <t>Капітальний ремонт фасаду, заміна вікон та дворової вхідної групи будівлі Черкаської загальноосвітньої школи  Ι-ΙΙΙ ступенів № 30 Черкаської міської ради</t>
  </si>
  <si>
    <t xml:space="preserve">Придбання електролічильника для ЦДЮТ </t>
  </si>
  <si>
    <t>Придбання та встановлення бойлера для підігріву води у відділенні соціальної реабілітації дітей-інвалідів територіального центру соціальної допомоги Соснівського району, при якому відкрито групу денного перебування дітей-інвалідів</t>
  </si>
  <si>
    <t>Реконструкція першого поверху будівлі для розміщення Центру надання адміністративних послуг по бул. Шевченка, 307 в м. Черкаси (кредиторська заборгованість 2014 року)</t>
  </si>
  <si>
    <t>Капітальний ремонт приміщень та придбання обладнання для дитячої поліклініки №2 Черкаської міської дитячої лікарні (за рахунок субвенції з обласного бюджету)</t>
  </si>
  <si>
    <t>250344</t>
  </si>
  <si>
    <t xml:space="preserve">Придбання побутової техніки (електром'ясорубка, електропательня жарочна промислова) для ДНЗ №84 </t>
  </si>
  <si>
    <t>Капітальний ремонт приміщень (заміна вікон) дошкільного навчального закладу (ясла-садок) № 89 (з ПКД)</t>
  </si>
  <si>
    <t>Реконструкція мереж зовнішнього освітлення по вул. Благовісній (від вул. Дашковича до вул. Можайського) із застосуванням енергозберігаючих технологій</t>
  </si>
  <si>
    <t>на придбання елементів для дитячих та спортивних майданчиків</t>
  </si>
  <si>
    <t>Придбання програмного забезпечення для автоматизації роботи управління надання адміністративних послуг</t>
  </si>
  <si>
    <t>Придбання програмного забезпечення для створення реєстру судових справ</t>
  </si>
  <si>
    <t>Капітальний ремонт входу з облаштуванням пандусу в Черкаській міській дитячій лікарні по вул. Конєва, 4 (поліклініка № 3) (кредиторська заборгованість 2014 року)</t>
  </si>
  <si>
    <t>Придбання підсистеми та впровадження підсистеми електронного урядування</t>
  </si>
  <si>
    <t>76 Департамент фінансової політики</t>
  </si>
  <si>
    <t>Субвенція іншим бюджетам на  виконання інвестиційних проектів</t>
  </si>
  <si>
    <t>Капітальний ремонт приміщень (заміна вікон) дошкільного навчального закладу (ясла-садок) № 34 "Дніпряночка" (з ПКД)</t>
  </si>
  <si>
    <t>Капітальний ремонт покрівлі ДНЗ №21</t>
  </si>
  <si>
    <t xml:space="preserve">Капітальний ремонт вул. Канівська </t>
  </si>
  <si>
    <t>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(з ПКД) (кредиторська заборгованість 2014 року)</t>
  </si>
  <si>
    <t>Придбання електрокардіографів КНП "Перша Черкаська міська поліклініка" ЧМР (кредиторська заборгованість 2014 року)</t>
  </si>
  <si>
    <t>Придбання обладнання та стоматологічний інструментарій для Черкаської міської дитячої стоматологічної поліклініки:</t>
  </si>
  <si>
    <t>Придбання засобів догляду за паліативними хворими для КНП ЧМР "Друга Черкаська міська лікарня відновного лікування"</t>
  </si>
  <si>
    <t xml:space="preserve"> - візки медичні</t>
  </si>
  <si>
    <t xml:space="preserve"> - душова кабіна</t>
  </si>
  <si>
    <t xml:space="preserve"> - пральна машина</t>
  </si>
  <si>
    <t xml:space="preserve"> - приліжкові тумби із поворотним столом</t>
  </si>
  <si>
    <t xml:space="preserve"> - ліжка медичні функціональні</t>
  </si>
  <si>
    <t>Придбання апарату магнітолазерної терапії для КНП "Перша Черкаська міська лікарня" ЧМР</t>
  </si>
  <si>
    <t>Реконструкція вхідної групи парку "50-річчя Жовтня" з боку вул. Пальохи (з ПКД) (кредиторська заборгованість 2014 року)</t>
  </si>
  <si>
    <t>Реконструкція стели на в'їзді у м. Черкаси з боку м. Київ (з ПКД) (кредиторська заборгованість 2014 року)</t>
  </si>
  <si>
    <t>Капітальний ремонт приміщення КДЮСШ Вікторія по вул. Рози Люксембург 189/1 (з ПКД)</t>
  </si>
  <si>
    <t xml:space="preserve">Організація та проведення загальноміського конкурсу "Оточи себе красою </t>
  </si>
  <si>
    <t>Внесення змін до Плану зонування території м.Черкаси (у відповідності до актуалізації генерального плану)</t>
  </si>
  <si>
    <t xml:space="preserve">Внесення змін до генерального плану міста Черкаси (Актуалізація) </t>
  </si>
  <si>
    <t>Реконструкція тротуарів по вул. Крилова від бул. Шевченка до пров. Ломоносова та вул. Ломоносова відповідно, м. Черкаси</t>
  </si>
  <si>
    <t xml:space="preserve">Капітальний ремонт системи водопроводу та каналізації в адмін.будівлі  КП "Кінотеатр Україна" (з ПКД) </t>
  </si>
  <si>
    <t>Придбання обладнання для фізіотерапевтичного відділення КНП "Перша Черкаська міська лікарня"ЧМР</t>
  </si>
  <si>
    <t>Придбання обладнання для стерилізації для Черкаської міської дитячої лікарні</t>
  </si>
  <si>
    <t>Субвенція обласному бюджету на об'єкт "Реконструкція поліклініки під перинатальний центр КЗ "Черкаська обласна лікарня Черкаської обласної ради" по вул. Менделєєва, 3 в м. Черкаси" (кредиторська заборговансть 2014 року)</t>
  </si>
  <si>
    <t>Капітальний ремонт житлового фонду міської комунальної власності (плановий та позаплановий капітальний ремонт ліфтів) (кредиторська заборгованість 2014 року)</t>
  </si>
  <si>
    <t>Капітальний ремонт житлових будинків особам, які відповідно до чинного законодавства мають таке право (за рахунок субвенції з державного бюджету)</t>
  </si>
  <si>
    <t>Придбання промислової пральної машини для дошкільного навчального закладу (ясла-садок) № 30 "Вербиченька" Черкаської міської ради  (за рахунок субвенції з обласного бюджету)</t>
  </si>
  <si>
    <t>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78 ліфтів поточного року;            
'- капітальний ремонт  ліфтів запланованих та не виконаних у 2014 році</t>
  </si>
  <si>
    <t>Придбання комп’ютерів та оргтехніки для дитячої музичної школи №5, дитячої музичної школи №3,  дитячої школи мистецтв, дитячої художньої школи ім.Данила Нарбута</t>
  </si>
  <si>
    <t>Капітальний ремонт приміщень музичної школи №1</t>
  </si>
  <si>
    <t>Капітальний ремонт приміщень музичної школи №5</t>
  </si>
  <si>
    <t>Придбання комп’ютерної техніки для дитячої музичної школи №3</t>
  </si>
  <si>
    <t>Придбання музичних інструментів для закладів культури міста</t>
  </si>
  <si>
    <t xml:space="preserve"> </t>
  </si>
  <si>
    <t>Придбання комп’ютерів та оргтехніки для централізованої бібліотечної системи, бібліотеки-філії №2 для дітей</t>
  </si>
  <si>
    <t>Капітальний ремонт приміщень (заміна вікон)   бібліотеки-філії №2 для дітей вул. Сумгаїтська 24/1</t>
  </si>
  <si>
    <t>Реконструкція дитячого майданчику за адресою вул. Бидгощська, 5 (з ПКД) (кредиторська заборгованість 2014 року)</t>
  </si>
  <si>
    <t>Капітальний ремонт приміщень (центральний вхід) ЗОШ №24 (з ПКД)</t>
  </si>
  <si>
    <t>Капітальний ремонт приміщень (центральний вхід) ЗОШ №25 (з ПКД)</t>
  </si>
  <si>
    <t xml:space="preserve">Капітальний ремонт приміщень (центральний вхід) ЗОШ №32 (з ПКД) </t>
  </si>
  <si>
    <t>Капітальний ремонт приміщень (центральний вхід) НВК ЗОШ-ліцею спортивного профілю № 34 (з ПКД)</t>
  </si>
  <si>
    <t>Реконструкція зовнішнього освітлення в мікрорайоні Луначарський (з ПКД)</t>
  </si>
  <si>
    <t>Будівництво  пішохідних тротуарів (з ПКД) (згідно переліку, затвердженого рішенням виконавчого комітету) (кредиторська заборгованість 2014 року)</t>
  </si>
  <si>
    <t>Реконструкція пішохідних тротуарів (з ПКД) (згідно переліку, затвердженого рішенням виконавчого комітету) (кредиторська заборгованість 2014 року)</t>
  </si>
  <si>
    <t>Капітальний ремонт  пішохідних тротуарів (з ПКД) (згідно переліку, затвердженого рішенням виконавчого комітету) (кредиторська заборгованість 2014 року)</t>
  </si>
  <si>
    <t>Реконструкція пров. Зелений від пров. Айвазовського до вул. Бидгощської м. Черкаси (з ПКД) (кредиторська заборгованість 2014 року)</t>
  </si>
  <si>
    <t>Реконструкція вул. Г. Дніпра (з ПКД) (кредиторська заборгованість 2014 року)</t>
  </si>
  <si>
    <t>Капітальний ремонт вул. Канівська (кредиторська заборгованість 2014 року)</t>
  </si>
  <si>
    <r>
      <t>33000000</t>
    </r>
    <r>
      <rPr>
        <b/>
        <sz val="14"/>
        <rFont val="Times New Roman"/>
        <family val="1"/>
      </rPr>
      <t xml:space="preserve"> Кошти від продажу землі і нематеріальних активів </t>
    </r>
  </si>
  <si>
    <r>
      <t>24170000</t>
    </r>
    <r>
      <rPr>
        <b/>
        <sz val="14"/>
        <rFont val="Times New Roman"/>
        <family val="1"/>
      </rPr>
      <t xml:space="preserve"> Надходження коштів пайової участі у розвитку інфраструктури населеного пункту</t>
    </r>
  </si>
  <si>
    <r>
      <t>208400</t>
    </r>
    <r>
      <rPr>
        <b/>
        <sz val="14"/>
        <rFont val="Times New Roman"/>
        <family val="1"/>
      </rPr>
      <t xml:space="preserve"> Кошти, що предаються із загального фонду бюджету до бюджету розвитку (спеціального фонду)</t>
    </r>
  </si>
  <si>
    <r>
      <t>41035000</t>
    </r>
    <r>
      <rPr>
        <b/>
        <sz val="14"/>
        <rFont val="Times New Roman"/>
        <family val="1"/>
      </rPr>
      <t xml:space="preserve"> Інші субвенції на соціально-економічний розвиток регіонів (з урахуванням погашення кредиторської заборгованості)</t>
    </r>
  </si>
  <si>
    <t>Програма розвитку земельних відносин в м.Черкаси на 2013-2015 роки (капітальні видатки), у т.ч.:</t>
  </si>
  <si>
    <t>Капітальний ремонт тротуару від Алеї Путейко до ДНЗ №87 "Дельфін" та житлового будинку по вул. Ярославська,36</t>
  </si>
  <si>
    <t>Реконструкція ОДС-1 по вул. 30 років Перемоги, 36</t>
  </si>
  <si>
    <t xml:space="preserve">Капітальний ремонт мереж зливової каналізації </t>
  </si>
  <si>
    <t>Будівництво мереж зовнішнього освітлення пішоходної алеї вздовж житлових будинків №91,93,95 по вул. Котовського (з ПКД)</t>
  </si>
  <si>
    <t>Капітальний ремонт вул.Одеська  від вул. Лісова Просіка до вул. Онопрієнка (кредиторська заборгованість 2014 року)</t>
  </si>
  <si>
    <t>Роботи з проектування будівництва, реконструкціїї та ремонту доріг (кредиторська заборгованість 2014 року)</t>
  </si>
  <si>
    <t>Капітальний ремонт дошкільного навчального закладу (ясла-садок) санаторного типу №74 "Лісова Пісня" за адресою м. Черкаси вул. Боженко, 14 (приміщення) (з ПКД) (кредиторська заборгованість 2014 року)</t>
  </si>
  <si>
    <t>Капітальний ремонт ДНЗ №37 (заміна вікон) (з ПКД) (кредиторська заборгованість 2014 року)</t>
  </si>
  <si>
    <r>
      <t>41035000</t>
    </r>
    <r>
      <rPr>
        <b/>
        <sz val="10"/>
        <rFont val="Times New Roman"/>
        <family val="1"/>
      </rPr>
      <t xml:space="preserve"> Інші субвенції на підвищення ефективності та функціонування центрів надання адміністративних послуг шляхом покращення її матеріально-технічного забезпечення (на умовах співфінансування з іншими місцевими бюджетами) у рамках виконання програми економічного і соціального розвитку Черкаської області на 2015 рік</t>
    </r>
  </si>
  <si>
    <t>Реконструкція мереж зовнішнього освітлення із застосуванням енергозберігаючих технологій по вул. Смілянська (з ПКД)</t>
  </si>
  <si>
    <t>Будівництво внутрішньобудинкового освітлення між вул.Чорновола та вул.Р.Люксембург (кредиторська заборгованість 2014 року)</t>
  </si>
  <si>
    <t>Реконструкція східців по cпуску між будинками №13-№19 по вул. Героїв Сталінграду (з ПКД) (кредиторська заборгованість 2014 року)</t>
  </si>
  <si>
    <t xml:space="preserve">Проведення невідкладних відновлювальних робіт, будівництво та реконструкція загальноосвітніх навчальних закладів </t>
  </si>
  <si>
    <t>0731</t>
  </si>
  <si>
    <t>Перинатальні центри, пологові будинки</t>
  </si>
  <si>
    <t>0733</t>
  </si>
  <si>
    <t>0721</t>
  </si>
  <si>
    <t>Загальні і спеціалізовані стоматологічні поліклініки</t>
  </si>
  <si>
    <t>0722</t>
  </si>
  <si>
    <t>150114</t>
  </si>
  <si>
    <t>100203</t>
  </si>
  <si>
    <t>0610</t>
  </si>
  <si>
    <t xml:space="preserve">Капітальний ремонт житлового фонду місцевих органів влади </t>
  </si>
  <si>
    <t>0620</t>
  </si>
  <si>
    <t>Капітальний ремонт гуртожитку по вул. Хоменка, 14 (покрівля та мережі електропостачання) (з ПКД) (кредиторська заборгованість 2014 року)</t>
  </si>
  <si>
    <t>Капітальний ремонт ЗОШ І-ІІІ ступенів № 18 Черкаської міської ради (заміна вікон) (з ПКД) (кредиторська заборгованість 2014 року)</t>
  </si>
  <si>
    <t>Капітальний ремонт ЗОШ І-ІІІ ступенів № 28 Черкаської міської ради (заміна вікон) (з ПКД) (кредиторська заборгованість 2014 року)</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</si>
  <si>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</si>
  <si>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Котовського від вул. Хрещатик до вул. Одеської (з ПКД)</t>
  </si>
  <si>
    <t>Реконструкція із застосуванням щебенево-мастичного асфальтобетону вул. Хрещатик від вул. Котовського до вул. Леніна (з ПКД)</t>
  </si>
  <si>
    <t>Придбання комп’ютерів та оргтехніки для централізованої бібліотечної системи, бібліотеки-філії №2 для дітей (кредиторська заборгованість 2014 року)</t>
  </si>
  <si>
    <t>Придбання обладнання для комунального некомерційного підприємства "Черкаська міська реабілітаційно-оздоровча поліклініка "Астра"" Черкаської міської ради (за рахунок субвенції з обласного бюджету)</t>
  </si>
  <si>
    <t>250324</t>
  </si>
  <si>
    <t>ЗОШ І-ІІІ ступенів №5 (з ПКД) (кредиторська заборгованість 2014 року)</t>
  </si>
  <si>
    <t xml:space="preserve">10 Департамент освіти та гуманітарної політики ЧМР </t>
  </si>
  <si>
    <t>Капітальний ремонт приміщень (заміна вікон)  дошкільного навчального закладу (ясла-садок)№ 50  "Світлофорчик" (з ПКД)</t>
  </si>
  <si>
    <t>Капітальний ремонт приміщень (заміна вікон)  дошкільного навчального закладу (ясла-садок) № 54 (з ПКД)</t>
  </si>
  <si>
    <t>Реконструкція спортивного майданчика вул. В.Чорновола, 160/1 в м. Черкаси (з ПКД) (кредиторська заборгованість 2014 року)</t>
  </si>
  <si>
    <t>Реконструкція дитячого майданчика по вул. Добровольського,8, в м. Черкаси (з ПКД) (кредиторська заборгованість 2014 року)</t>
  </si>
  <si>
    <t>Реконстукція спортивного майданчика в межах території будинків по вул. В. Чорновола, 120/2 та вул. Радянська, 37 м. Черкаси (з ПКД) (кредиторська заборгованість 2014 року)</t>
  </si>
  <si>
    <t>Будівництво літнього майданчику для стрільби з лука на фізкультурно-оздоровчому комплексі по вул. Ярославській, 5 в м. Черкаси (з ПКД) (кредиторська заборгованість 2014 року)</t>
  </si>
  <si>
    <t>Капітальний ремонт приміщень (заміна вікон) дошкільного навчального закладу (ясла-садок) № 60" "Ялинка - Веселинка" " (з ПКД)</t>
  </si>
  <si>
    <t>Придбання та встановлення  кондиціонерів для відділення соціальної реабілітації дітей-інвалідів територіального центру соціальної допомоги Соснівського району м.Черкаси</t>
  </si>
  <si>
    <t>Капітальний ремонт внутрішніх мереж опалення та гарячого водопостачання ЗОШ І-ІІІ ступенів №10 Черкаської міської ради (кредиторська заборгованість 2014 року)</t>
  </si>
  <si>
    <t>Капітальний ремонт приміщень (заміна вікон), у т.ч.:</t>
  </si>
  <si>
    <t>Капітальний ремонт приміщень (санвузлів) Черкаської міської центральної бібліотеки ім. Л.Українки (з ПКД) (кредиторська заборгованість 2014 року)</t>
  </si>
  <si>
    <t>Капітальний ремонт приміщень(туалетів) Центральної дитячої бібліотеки (кредиторська заборгованість 2014 року)</t>
  </si>
  <si>
    <t>Капітальний ремонт житлового будинку по вул. Сєдова,25 (покрівля) (з ПКД) (кредиторська заборгованість 2014 року)</t>
  </si>
  <si>
    <t>Капітальний ремонт приміщень (заміна вікон) Черкаської загальноосвітньої школи І-ІІІ № 22 (з ПКД)</t>
  </si>
  <si>
    <t>Капітальний ремонт приміщень (заміна вікон) Черкаської загальноосвітньої школи   Ι-ΙΙΙ ступенів № 25 (з ПКД)</t>
  </si>
  <si>
    <t>Капітальний ремонт приміщень (заміна вікон) ФІМЛІ, вул. Благовісна 280 (з ПКД)</t>
  </si>
  <si>
    <t xml:space="preserve">Капітальний ремонт приміщень (встановлення лічильника тепла) ЗОШ №22 (з ПКД) </t>
  </si>
  <si>
    <t>Придбання спортивного інвентарю та обладнання для СШ ст. І-ІІІ №18 ЧМР</t>
  </si>
  <si>
    <t>Капітальний ремонт приміщень ЗОШ №22</t>
  </si>
  <si>
    <t>Капітальний ремонт приміщень СШ №20</t>
  </si>
  <si>
    <t>Придбання силових тренажерів для Черкаського клубу юних моряків з флотилією Черкаської міської ради, за адресою бул. Шевченка 298</t>
  </si>
  <si>
    <t>Надійшло станом на 30.10.2015</t>
  </si>
  <si>
    <t>Профінансовано на 30.10.2015</t>
  </si>
  <si>
    <r>
      <t xml:space="preserve">Залишок коштів на рахунку на 30.10.2015 </t>
    </r>
    <r>
      <rPr>
        <b/>
        <sz val="9"/>
        <rFont val="Times New Roman"/>
        <family val="1"/>
      </rPr>
      <t>(без депозиту)</t>
    </r>
  </si>
  <si>
    <t>Розміщено на депозиті станом на 30.10.15</t>
  </si>
  <si>
    <t>Капітальний ремонт будівлі КНП "Перша Черкаська міська поліклініка" ЧМР ( ремонт покрівлі)  (з розробкою ПКД)</t>
  </si>
  <si>
    <t>Капітальний ремонт приміщення КНП "П'ята Черкаська міська поліклініка" Черкаської міської ради по вул.30 років Перемоги, 20, м.Черкаси (капітальний ремонт ліфтів) (з ПКД)</t>
  </si>
  <si>
    <t xml:space="preserve"> - КНП "Перша Черкаська міська поліклініка"</t>
  </si>
  <si>
    <t xml:space="preserve"> - КНП "Друга Черкаська міська поліклініка"</t>
  </si>
  <si>
    <t xml:space="preserve"> - КНП "Третя Черкаська міська поліклініка"</t>
  </si>
  <si>
    <t xml:space="preserve"> - КНП "Четверта Черкаська міська поліклініка"</t>
  </si>
  <si>
    <t xml:space="preserve"> - КНП "П'ята Черкаська міська поліклініка"</t>
  </si>
  <si>
    <t xml:space="preserve">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t>
  </si>
  <si>
    <t>Капітальний ремонт житлового будинку по бул. Шевченка,285 (покрівля) (з ПКД) (кредиторська заборгованість 2014 року)</t>
  </si>
  <si>
    <t xml:space="preserve">15 Департамент соціальної політики ЧМР  </t>
  </si>
  <si>
    <r>
      <t xml:space="preserve">40 Департамент житлово-комунального комплексу ЧМР </t>
    </r>
  </si>
  <si>
    <t xml:space="preserve">Капітальний ремонт спортивної зали загальноосвітньої школи І-ІІІ ступенів № 5 </t>
  </si>
  <si>
    <t>Капітальний ремонт покрівлі Черкаської спеціалізованої школи Ι-ΙΙΙ ступенів № 33</t>
  </si>
  <si>
    <t>Капітальний ремонт покрівлі НВК ЗОШ-ліцею спортивного профілю № 34</t>
  </si>
  <si>
    <t>ДНЗ № 91 (кредиторська заборгованість 2014 року)</t>
  </si>
  <si>
    <t>Капітальний ремонт приміщень  (заміна вікон) Черкаської спеціалізованої школи І-ІІІ ступенів № 17 Черкаської міської ради  (з ПКД)  (за рахунок субвенції з обласного бюджету)</t>
  </si>
  <si>
    <t>Придбання музичної апаратури для Черкаської дитячої музичної школи № 2 (вокальне відділення, ансамбль "Квітограй") (за рахунок субвенції з обласного бюджету)</t>
  </si>
  <si>
    <t>Придбання спортивного обладнання  для ДЮСШ з веслування Черкаської міської ради, м.Черкаси, вул.Гагаріна,5 (за рахунок субвенції з обласного бюджету)</t>
  </si>
  <si>
    <t>Будівництво пандуса для людей з особливими потребами в Черкаській ЗОШ І-ІІІ ступенів № 21 (з ПКД)</t>
  </si>
  <si>
    <t>Реконструкція системи опалення Черкаського клубу юних моряків з флотилією  за адресою бул.Шевченка, 298 (з ПКД)</t>
  </si>
  <si>
    <t xml:space="preserve">Капітальний ремонт приміщень (заміна вікон) ДНЗ №27 “Ромашка” (з ПКД) </t>
  </si>
  <si>
    <t>Капітальний ремонт ДНЗ №10 “Ялинка” (зовнішня каналізаційна мережа) (з ПКД)</t>
  </si>
  <si>
    <t xml:space="preserve">Капітальний ремонт приміщень ДНЗ №74 “Лісова пісня”  (зміна вікон) (з ПКД) </t>
  </si>
  <si>
    <t>Капітальний ремонт приміщень (заміна вікон) ДНЗ №22 (з ПКД)</t>
  </si>
  <si>
    <t xml:space="preserve">Капітальний ремонт будівлі ДНЗ №86 "Світанок" (внутрішні мережі водопостачання) </t>
  </si>
  <si>
    <t>Капітальний ремонт приміщень (заміна вікон)  ДНЗ №72 “Струмок” (з ПКД)</t>
  </si>
  <si>
    <t>Капітальний ремонт приміщень (заміна вікон) ДНЗ №1 “Дюймовочка” (з ПКД)</t>
  </si>
  <si>
    <t>Капітальний ремонт приміщень (покрівля) ДНЗ №54 “Метелик” (з ПКД)</t>
  </si>
  <si>
    <t xml:space="preserve">Капітальний ремонт приміщень (заміна вікон) ДНЗ №91 “Кобзарик” (з ПКД) </t>
  </si>
  <si>
    <t xml:space="preserve">Капітальний ремонт приміщень (покрівля) ДНЗ №76 “Золотий півник” (з ПКД) </t>
  </si>
  <si>
    <t>Капітальний ремонт ДНЗ № 10 "Ялинка" (покрівля) (з ПКД)</t>
  </si>
  <si>
    <t>Капітальний ремонт приміщень (покрівля) гімназія №31 (з ПКД)</t>
  </si>
  <si>
    <t xml:space="preserve">Капітальний ремонт приміщень (санітарні вузли) гімназія №31 (з ПКД) </t>
  </si>
  <si>
    <t xml:space="preserve">Капітальний ремонт приміщень СШ №28 (зовнішні мережі опалення) з ПКД </t>
  </si>
  <si>
    <t xml:space="preserve">Капітальний ремонт приміщень СШ №28 (фасад) з ПКД </t>
  </si>
  <si>
    <t>Капітальний ремонт приміщень (санвузли)  Черкаської загальноосвітньої школи Ι-ΙΙΙ ступенів № 21 (з ПКД)</t>
  </si>
  <si>
    <t>Капітальний ремонт будівлі (заміна  вікон)Черкаської спеціалізованої школи І-ІІІ ступенів № 3</t>
  </si>
  <si>
    <t xml:space="preserve">Капітальний ремонт приміщень (санвузли) ЗОШ Ι-ΙΙΙ ступенів №10 (з ПКД) </t>
  </si>
  <si>
    <t>на облаштування засобами відео спостереження</t>
  </si>
  <si>
    <t>Капітальний ремонт приміщень (покрівля) ЗОШ№ 19</t>
  </si>
  <si>
    <t>Придбання інтерактивного обладнання  для Черкаської гімназії  І-ІІІ ступенів № 9  Черкаської міської ради ім. Луценка О.М</t>
  </si>
  <si>
    <t>Придбання стерилізаторів для КНП "Перша міська лікарня" ЧМР (кредиторська заборгованість 2014 року)</t>
  </si>
  <si>
    <t>Реконструкція із застосуванням щебенево-мастичного асфальтобетону вул. Енгельса від бульв. Шевченка до вул. Бидгощської (з ПКД)</t>
  </si>
  <si>
    <r>
      <t xml:space="preserve"> - </t>
    </r>
    <r>
      <rPr>
        <i/>
        <sz val="12"/>
        <rFont val="Times New Roman"/>
        <family val="1"/>
      </rPr>
      <t>ліжка медичні функціональні (кредиторська заборгованість 2014 року)</t>
    </r>
  </si>
  <si>
    <t xml:space="preserve"> - стерилізатор (кредиторська заборгованість 2014 року)</t>
  </si>
  <si>
    <t xml:space="preserve"> - електрокардіограф (кредиторська заборгованість 2014 року)</t>
  </si>
  <si>
    <t xml:space="preserve">Реконструкція тротуару в сквері "Подих Дніпра" між житловими будинками №42 та №38 вздовж житлового будинку по вул. Героїв Сталінграду, 40, м. Черкаси </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</si>
  <si>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</si>
  <si>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Придбання крісла гінекологічного для Черкаської міської дитячої лікарні (кредиторська заборгованість 2014 року)</t>
  </si>
  <si>
    <t>Капітальний ремонт будівлі господарського корпусу КЗ "Черкаський міський пологовий будинок "Центр матері та дитини" по вул. Чехова, 101, м. Черкаси (з ПКД) (кредиторська заборгованість 2014 року)</t>
  </si>
  <si>
    <t>Придбання побутової техніки (електроплита, електрокотел,жарочна шафа, промислова пральна машина) для ДНЗ (ясла-садок) №59 "Петрушка"</t>
  </si>
  <si>
    <t>Придбання побутової техніки (електроплита на 6 конфорок з духовою шафою) для ДНЗ №30</t>
  </si>
  <si>
    <t>Придбання побутової техніки (електроплита,електром'ясорубка, холодильна шафа, промислова пральна машина) для ДНЗ №50 "Світлофорчик"</t>
  </si>
  <si>
    <t>Придбання обладнання для КЗ "Третя Черкаська міська лікарня швидкої медичної допомоги" ЧМР, в т.ч.:</t>
  </si>
  <si>
    <t xml:space="preserve"> - дихальні апарати</t>
  </si>
  <si>
    <t>Реконструкція пішохідної алеї від вул. Орджонікідзе вздовж ТРЦ "Дніпро Плаза" (кредиторська заборгованість 2014 року)</t>
  </si>
  <si>
    <t>Реконструкція гуртожитків по вул. Одеська, 8-а та вул. Одеська, 8/1 (мережі електропостачання із встановленням приладів обліку) (з ПКД) (кредиторська заборгованість 2014 року)</t>
  </si>
  <si>
    <t>170703</t>
  </si>
  <si>
    <t xml:space="preserve">Видатки на проведення робіт, пов'язаних із будівництвом, реконструкцією, ремонтом та утриманням автомобільних доріг </t>
  </si>
  <si>
    <t xml:space="preserve">Поліклініки і амбулаторії (крім спеціалізованих поліклінік та загальних і спеціалізованих стоматологічних поліклінік) </t>
  </si>
  <si>
    <t>Придбання та встановлення кондиціонерів для відділень територіального центру  соціальної допомоги Придніпровського району м.Черкаси</t>
  </si>
  <si>
    <t>ДНЗ № 61 вул. Громова, 93/1 (кредиторська заборгованість 2014 року)</t>
  </si>
  <si>
    <t>Реконструкція мереж зовнішнього освітлення пішоходної алеї між житловим будинком по вул. Смільнській № 106,106/1, 106/2, 108 по напрямку до житлового будинку по вул. Хоменка</t>
  </si>
  <si>
    <t xml:space="preserve">Будівництво об’єктів зливової каналізації по вул. Смілянський від вул. Вернигори до перехрестя з вул. Леніна </t>
  </si>
  <si>
    <t>Капітальний ремонт покрівлі спеціалізованої школи № 17 та часткова заміна вікон (з ПКД)</t>
  </si>
  <si>
    <t>Капітальний ремонт внутрішньоквартального проїзду пров. Коцюбинського між вул. Пастерівської та Р.Люксембург м. Черкаси (з ПКД)</t>
  </si>
  <si>
    <t xml:space="preserve">Капітальний ремонт приміщень (заміна вікон) Черкаської гімназії № 31 </t>
  </si>
  <si>
    <t>ДНЗ № 63 вул. Р.Люксембург,216/1 (кредиторська заборгованість 2014 року)</t>
  </si>
  <si>
    <t>ДНЗ № 76 вул. Котовського, 136 (кредиторська заборгованість 2014 року)</t>
  </si>
  <si>
    <t>ДНЗ № 78 вул. Вербовецького, 38 (кредиторська заборгованість 2014 року)</t>
  </si>
  <si>
    <t>Придбання побутової техніки  для ДНЗ міста Черкаської міської ради (кредиторська заборгованість 2014 року)</t>
  </si>
  <si>
    <t>Капітальний ремонт приміщень (заміна вікон), в т.ч.:</t>
  </si>
  <si>
    <t>ДНЗ № 1 (з ПКД) (кредиторська заборгованість 2014 року)</t>
  </si>
  <si>
    <t xml:space="preserve">Капітальний ремонт покрівель, у т.ч.:  </t>
  </si>
  <si>
    <t xml:space="preserve">Капітальний ремонт ДНЗ №37 Черкаської міської ради (заміна вікон) (з ПКД) </t>
  </si>
  <si>
    <t>Капітальний ремонт приміщень Черкаської спеціалізованої школи І-ІІІ ступенів № 13</t>
  </si>
  <si>
    <t>Реконструкція будівлі КНП "Перша Черкаська міська лікарня" ЧМР (з розробкою ПКД)</t>
  </si>
  <si>
    <t>Роботи з капітального ремонту будівель КЗ "Черкаський міський пологовий будинок "Центр матері та дитини" по вул. Чехова 101, м. Черкаси (з розробкою ПКД</t>
  </si>
  <si>
    <t>роботи з капітального ремонту будівлі КЗ "Черкаський міський пологовий будинок "Центр матері та дитини" по вулиці 30-річчя Перемоги, 16/1, м.Черкаси (ремонт покрівлі) (з розробкою ПКД)</t>
  </si>
  <si>
    <t>Капітальний ремонт ДНЗ № 39 (фасад)  м. Черкаси (з ПКД)</t>
  </si>
  <si>
    <t>Реконструкція вул. Менделєєва від вул. Санаторної до вул. Я. Галана</t>
  </si>
  <si>
    <t xml:space="preserve">Реконструкція мереж зовнішнього освітлення пішохідної доріжки вздовж будинку № 39/1 по вул. Радянська від вул. Чорновола до ДНЗ № 37 м. Черкаси (з ПКД) </t>
  </si>
  <si>
    <t>Реконструкція мереж зовнішнього освітлення пішохідної доріжки вздовж будинку № 116/1 по вул. Чорновола від вул. Чорновола до ДНЗ № 37  м. Черкаси (з ПКД)</t>
  </si>
  <si>
    <t>Реконструкція спортивного майданчику Черкаської спеціалізованої школи І-ІІІ ступенів №3 Черкаської міської ради, м. Черкаси, вул. Б. Вишневецького, 58 (з ПКД)</t>
  </si>
  <si>
    <t>Капітальний ремонт адміністративної будівлі територіального центру соціальної допомоги Придніпровського району за адресою: вул. Гвардійська, 7/5, м. Черкаси (корпус АІІ-ІІ) (з ПКД)</t>
  </si>
  <si>
    <t xml:space="preserve">Реконструкція із застосуванням щебенево-мастичного асфальтобетону вул. Гагаріна від вул. Сержанта Жужоми до узвозу Клубний (з ПКД) </t>
  </si>
  <si>
    <t>Капітальний ремонт приміщення (центральний вхід) КДЮСШ Вікторія по вул. Рози Люксембург 189/1 (з ПКД)</t>
  </si>
  <si>
    <t>Програма розроблення містобудівної документації в м. Черкаси  на 2012-2015 роки, у т.ч.:</t>
  </si>
  <si>
    <t>Розроблення плану зонування території м. Черкаси (кредиторська заборгованість 2014 року)</t>
  </si>
  <si>
    <t>Придбання лінолеуму, меблів та комп'ютерної техніки для Черкаської спеціалізованої школи І-ІІІ ступенів № 28 ім. Т.Г.Шевченка Черкаської міської ради Черкаської області  (за рахунок субвенції з обласного бюджету)</t>
  </si>
  <si>
    <t>Реконструкція із застосуванням щебенево-мастичного асфальтобетону вул. Гагаріна від узвозу Клубний до автостради Н-16, м. Черкаси (з ПКД) (кредиторська заборгованість 2014 року)</t>
  </si>
  <si>
    <t>Капітальний ремонт гуртожитку по вул. Смілянська, 90/1 (з ПКД) (кредиторська заборгованість 2014 року)</t>
  </si>
  <si>
    <t>Капітальний ремонт приміщень (внутрішні мережі гарячого водопостачання) СШ №28 (молодша)  (з ПКД)</t>
  </si>
  <si>
    <t>Капітальний ремонт санвузла для дітей з особливими потребами в ЗОШ І-ІІІ ступенів № 5 (з ПКД)</t>
  </si>
  <si>
    <t>Капітальний ремонт приміщень (санвузли) ЗОШ №7 (з ПКД)</t>
  </si>
  <si>
    <t>Капітальний ремонт приміщень (санвузли) загальноосвітньої школи І-ІІІ ступенів № 8</t>
  </si>
  <si>
    <t>Капітальний ремонт приміщень (санвузли) ЗОШ №12 (з ПКД)</t>
  </si>
  <si>
    <t>Капітальний ремонт приміщення тиру Черкаської гімназії №9 ім. Луценка</t>
  </si>
  <si>
    <t>Придбання комп'ютерів для ЗНЗ міста</t>
  </si>
  <si>
    <t>Придбання стрілецького костюма для комплексної дитячо-юнацької спортивної школи № 2 Черкаської міської ради (за рахунок субвенції з обласного бюджету)</t>
  </si>
  <si>
    <t>Капітальний ремонт зовнішньої мережі гарячого водопостачання та опалення ЗОШ І-ІІІ ст. № 6 ЧМР</t>
  </si>
  <si>
    <t>Капітальний ремонт внутрішніх мереж опалення та гарячого водопостачання (встановлення бойлера) ЗОШ І-ІІІ ст. 6 ЧМР (з ПКД)</t>
  </si>
  <si>
    <t>Капітальний ремонт приміщень ДНЗ № 45 «Теремок» (з ПКД)</t>
  </si>
  <si>
    <t>Придбання музичної апаратури для вокальної студії клубу "Надія" Черкаського міського багатопрофільного молодіжного центру</t>
  </si>
  <si>
    <t>Капітальний ремонт приміщень (фасаду, заміна вікон та дворової групи) будівлі Черкаської ЗОШ І-ІІІ ступенів № 15 (з ПКД)</t>
  </si>
  <si>
    <t>Капітальний ремонт приміщень Дитячої школи мистецтв 2-го корпусу по пров. Гастелло,3 (з ПКД)</t>
  </si>
  <si>
    <t>Реконструкція полігону твердих побутових відходів в районі с. Руська Поляна (кредиторська заборгованість 2014 року)</t>
  </si>
  <si>
    <t xml:space="preserve">Придбання комп'ютерної та копіювальної техніки для управління соціального захисту населення  Придніпровського району </t>
  </si>
  <si>
    <t xml:space="preserve">Придбання комп'ютерної та копіювальної техніки для управління соціального захисту населення  Соснівського району </t>
  </si>
  <si>
    <t>Придбання електрокардіографів портативних трьохканальних з комбінованим живленням:</t>
  </si>
  <si>
    <t>КНП "Перша Черкаська міська поліклініка" ЧМР (кредиторська заборгованість 2014 року)</t>
  </si>
  <si>
    <t>Капітальний ремонт будівлі КНП "Черкаська міська інфекційна лікарня" ЧМР (споруда під’їзної рампи з облаштуванням пандусами, покрівля, заміна вікон) (з розробкою ПКД)</t>
  </si>
  <si>
    <t>Капітальний ремонт приміщень дитячої поліклініки №2 Черкаської міської дитячої лікарні по вул.Вербовецького,40, м.Черкаси
(фізіотерапевтичного відділення)  (з розробкою ПКД)</t>
  </si>
  <si>
    <t xml:space="preserve">Капітальний ремонт будівлі КНП "Перша Черкаська міська лікарня" ЧМР (ремонт покрівлі)  (з розробкою ПКД) </t>
  </si>
  <si>
    <t>Придбання обладнання для комунального некомерційного підприємства "Черкаська міська реабілітаційно-оздоровча поліклініка "Астра"" Черкаської міської ради</t>
  </si>
  <si>
    <t>Капітальний ремонт будівлі КНП ЧМРОП "Астра" ЧМР (сходи, покрівля) (з розробкою ПКД)</t>
  </si>
  <si>
    <t xml:space="preserve">Капітальний ремонт будівлі КНП "Третя Черкаська міська поліклініка" ЧМР (з розробкою ПКД) </t>
  </si>
  <si>
    <t>Придбання обладнання для КЗ "Черкаська міська стоматологічна поліклініка ЧМР", зокрема:</t>
  </si>
  <si>
    <t xml:space="preserve"> - портативні бормашини</t>
  </si>
  <si>
    <t>Придбання камер системи відеоспостереження</t>
  </si>
  <si>
    <t xml:space="preserve">Капітальний ремонт приміщень майнового комплексу за адресою вул. Благовісна,170 (копурс Л-2) </t>
  </si>
  <si>
    <t xml:space="preserve">Капітальний ремонт вул. Котовського (встановлення світлофору на перехресті з вул. Червоноармійською) </t>
  </si>
  <si>
    <t>Придбання відбійного молотка електричного</t>
  </si>
  <si>
    <t>Придбання мийки високого тиску</t>
  </si>
  <si>
    <t>Придбання генератора бензинового</t>
  </si>
  <si>
    <t>на капітальний ремонт приміщень (санвузли) КП "Центральний стадіон" (з ПКД)</t>
  </si>
  <si>
    <t xml:space="preserve">Внески в статутний капітал КП "Спорткомплекс "Будівельник", у т.ч.: </t>
  </si>
  <si>
    <t>Капітальний ремонт зупинок громадського транспорту</t>
  </si>
  <si>
    <t>Придбання приладу для визначення щільності грунта</t>
  </si>
  <si>
    <t>Капітальний ремонт глибинного насосу по вул. Пацаєва</t>
  </si>
  <si>
    <t>Заходи з організації рятування на водах</t>
  </si>
  <si>
    <t xml:space="preserve">Школи естетичного виховання дітей </t>
  </si>
  <si>
    <t>0960</t>
  </si>
  <si>
    <t>0829</t>
  </si>
  <si>
    <t>130107</t>
  </si>
  <si>
    <t>130110</t>
  </si>
  <si>
    <t>130113</t>
  </si>
  <si>
    <t>0810</t>
  </si>
  <si>
    <t xml:space="preserve">Утримання та навчально-тренувальна робота дитячо-юнацьких спортивних шкіл </t>
  </si>
  <si>
    <t xml:space="preserve">Фінансова підтримка спортивних споруд </t>
  </si>
  <si>
    <t xml:space="preserve">Централізовані бухгалтерії </t>
  </si>
  <si>
    <t xml:space="preserve">Капітальні вкладення </t>
  </si>
  <si>
    <t>Придбання обладнання для первинної медико-санітарної допомоги згідно табелю оснащення:</t>
  </si>
  <si>
    <t>Капітальний ремонт приміщень дошкільного навчального закладу (ясла-садок) № 22 "Жайворонок" (з ПКД)</t>
  </si>
  <si>
    <t>Капітальний ремонт приміщень  (покрівля) дошкільного навчального закладу (ясла-садок) комбінованого типу №9 "Ластівка" по вул. Ільїна,470, м. Черкаси (з ПКД)</t>
  </si>
  <si>
    <t>Капітальний ремонт приміщень  (покрівля) дошкільного навчального закладу (ясла-садок) комбінованого типу №10 "Ялинка" по вул. Пастерівська 57 м. Черкаси (з ПКД)</t>
  </si>
  <si>
    <t>Капітальний ремонт приміщень (покрівля)  ДНЗ №37 (з ПКД)</t>
  </si>
  <si>
    <t xml:space="preserve">капітальний ремонт спортивних майданчиків по вул. В. Чорновола, 71, Петровського, 160/1-160/2 </t>
  </si>
  <si>
    <t>Реконструкція гуртожитку по  вул. Одеська, 8/1 (мережі електропостачання із встановленням приладів обліку) (з ПКД)</t>
  </si>
  <si>
    <t>Реконструкція гуртожитку по вул. Одеська, 8-а  (мережі електропостачання із встановленням приладів обліку) (з ПКД)</t>
  </si>
  <si>
    <t>Реконструкція сходів по узвозу Пастерівському (з ПКД)</t>
  </si>
  <si>
    <t>Придбання та встановлення світлового плафону на фасаді Черкаської міської центральної бібліотеки ім. Л.Українки (кредиторська заборгованість 2014 року)</t>
  </si>
  <si>
    <t>Оснащення загальноосвітніх навчальних закладів міста Черкаси засобами навчання (за рахунок освітньої субвенції з державного бюджету)</t>
  </si>
  <si>
    <t>Придбання музичних інструментів для ЧДМШ № 2 (за рахунок субвенції з обласного бюджету)</t>
  </si>
  <si>
    <t>Реконструкція східців по cпуску між будинками №25-№27 по вул. Героїв Сталінграду (з ПКД)</t>
  </si>
  <si>
    <t>Капітальний ремонт квиткових кас з вхідною групою КП “Центральний стадіон” по вул.Смілянська, 78, м.Черкаси (з ПКД)</t>
  </si>
  <si>
    <t>Реконструкція дитячого майданчика по вул. Добровольського, 8 в м.Черкаси</t>
  </si>
  <si>
    <t>Капітальний ремонт будівлі КНП "П'ята Черкаська міська поліклініка" ЧМР по вул. 30-років Перемоги, 20, в м. Черкаси (посилення конструкцій)</t>
  </si>
  <si>
    <t>Реконструкція вхідної групи парку "50-річчя Жовтня" з боку вул. Пальохи (з ПКД)</t>
  </si>
  <si>
    <t>Капітальний ремонт приміщень (заміна вікон)  дошкільного навчального закладу (ясла-садок)№ 57 (з ПКД)</t>
  </si>
  <si>
    <t>Капітальний ремонт приміщень (заміна вікон) Черкаської загальноосвітньої школи Ι-ΙΙΙ ступенів № 10</t>
  </si>
  <si>
    <t xml:space="preserve">Капітальний ремонт приміщень (заміна вікон )Черкаської загальноосвітньої школи І-ІІІ № 12 (з ПКД) </t>
  </si>
  <si>
    <t>Капітальний ремонт приміщень вентиляційної системи на харчоблоці ЗОШ І-ІІІ ступенів № 11 Черкаської міської ради ( з ПКД)</t>
  </si>
  <si>
    <t>Капітальний ремонт покрівлі Черкаської ЗОШ І-ІІІ ступенів № 15</t>
  </si>
  <si>
    <t>Придбання відео проектора для  ЗОШ І-ІІІ ступенів № 29 Черкаської міської ради Черкаської області (кредиторська заборгованість 2014 року)</t>
  </si>
  <si>
    <t>Капітальний ремонт приміщень (центральний вхід) Черкаського міського Будинку культури ім. І. Кулика (з ПКД)</t>
  </si>
  <si>
    <t>Капітальний ремонт приміщень (санвузли) Черкаського міського Будинку культури ім. І. Кулика (з ПКД)</t>
  </si>
  <si>
    <t>Розроблення правил, умов, вимог до міського середовища міста Черкаси</t>
  </si>
  <si>
    <t>Серпень</t>
  </si>
  <si>
    <t>КНП "Третя Черкаська міська поліклініка" ЧМР (кредиторська заборгованість 2014 року)</t>
  </si>
  <si>
    <t xml:space="preserve">Територіальні центри соціального обслуговування (надання соціальних послуг) </t>
  </si>
  <si>
    <t>Капітальний ремонт каналізаційної системи в приміщенні адміністративної будівлі територіального центру соціальної допомоги Соснівського району м. Черкаси (з ПКД) (кредиторська заборгованість 2014 року)</t>
  </si>
  <si>
    <t>Придбання проекційного екрану, проектору для "Університету III віку", що функціонує на базі відділення соціально-побутової адаптації територіального центру соціальної допомоги Соснівського району м. Черкаси (кредиторська заборгованість 2014 року)</t>
  </si>
  <si>
    <t>Будівництво очисних споруд на витоку зливових вод з колектора глибокого залягання по вул. Крилова (в тому числі ПКД), (кредиторська заборгованість 2014 року)</t>
  </si>
  <si>
    <t>Капітальний ремонт приміщень ЧДМШ № 1 ім. М. В. Лисенка (з ПКД)</t>
  </si>
  <si>
    <t xml:space="preserve">Капітальний ремонт приміщень Черкаської спеціалізованої школи І-ІІІ ступенів № 3 Черкаської міської ради </t>
  </si>
  <si>
    <t xml:space="preserve">Субвенція з місцевого бюджету державному бюджету для 2-ДПРЗ у ДСНС України у Черкаській області на придбання пожежних рукавів та бойового одягу  </t>
  </si>
  <si>
    <t xml:space="preserve">Субвенція з місцевого бюджету державному бюджету для  2-ДПРЗ У ДСНС України у Черкаській області, у тому числі: придбання для мобільної оперативної групи реагування на надзвичайні ситуації: електрогенераторів-3 од.; мотопомпи-3 од.;радіостанції та освітлювальна установка "Світлова вежа" </t>
  </si>
  <si>
    <t>Капітальний ремонт тротуару від житлових будинків 64,66 по вул. О.Дашкевича до вул. Ільїна (з ПКД)</t>
  </si>
  <si>
    <t>Капітальний ремонт мереж зливової каналізації по вул. 30-р. Перемоги</t>
  </si>
  <si>
    <t>Капітальний ремонт вул. Петровського від вул. Горького до вул. Чехова</t>
  </si>
  <si>
    <t>Капітальний ремонт тротуару парної сторони вул. Бидгощської від вул. Пастерівської  до вул. Рози Люксембург, м. Черкаси</t>
  </si>
  <si>
    <t>Капітальний ремонт внутрішньоквартального проїзду з вул. В. Чорновола до буд. по вул. Радянській, 39/1 вздовж будинку В. Чорновола, 118/1 м. Черкаси (з ПКД)</t>
  </si>
  <si>
    <t xml:space="preserve">Реконструкція тротуару непарної сторони вул. Героїв Сталінграда від вул. Калініна до вул. Орджонікідзе, м. Черкаси </t>
  </si>
  <si>
    <t>Капітальний ремонт Дошкільного навчального закладу (ясла-садок) комбінованого типу № 50 "Сфітлофорик", м. Черкаси, вул. Фрунзе, 65 (кредиторська заборгованість 2014 року)</t>
  </si>
  <si>
    <t>Капітальний ремонт Дошкільного навчального закладу (ясла-садок) комбінованого типу № 70 "Настуся", м. Черкаси, вул. Сумгаїтська, 55 (кредиторська заборгованість 2014 року)</t>
  </si>
  <si>
    <t>Капітальний ремонт Дошкільного навчального закладу (ясла-садок) комбінованого типу № 62 "Казка", м. Черкаи, вул. Петровського, 204 (кредиторська заборгованість 2014 року)</t>
  </si>
  <si>
    <t>Капітальний ремонт підлоги приміщень  Черкаської дитячої художньої школи ім. Д. Нарбута (кредиторська заборгованість 2014 року)</t>
  </si>
  <si>
    <t>Капітальний ремонт зовнішніх каналізаційних мереж Черкаської дитячої художньої школи ім. Д. Нарбута (з ПКД) (кредиторська заборгованість 2014 року)</t>
  </si>
  <si>
    <t>Капітальний ремонт внутрішньої системи опалення Черкаської дитячої художньої школи ім. Д. Нарбута (з  ПКД) (кредиторська заборгованість 2014 року)</t>
  </si>
  <si>
    <t>Капітальний ремонт внутрішних приміщень будівлі Черкаської дитячої художньої школи ім. Д. Нарбута (з ПКД) (кредиторська заборгованість 2014 року)</t>
  </si>
  <si>
    <t>Капітальний ремонт приміщень (покрівля) ДНЗ №43 (з ПКД)</t>
  </si>
  <si>
    <t>Капітальний ремонт приміщень (покрівля) дошкільного навчального закладу (ясла-садок) "Настуся" №70 (з ПКД)</t>
  </si>
  <si>
    <t>Капітальний ремонт приміщень (покрівля)  дошкільного навчального закладу (ясла-садок)  №63 (з ПКД)</t>
  </si>
  <si>
    <t xml:space="preserve"> Капітальний ремонт внутрішньоквартального проїзду з вул.Гоголя до буд.580 в м.Черкаси (з ПКД) (кредиторська заборгованість 2014 року)</t>
  </si>
  <si>
    <t>Реконструкція східців по cпуску між будинками №13-№19 по вул. Героїв Сталінграду (з ПКД)</t>
  </si>
  <si>
    <t>Реконструкція східців по cпуску між будинками №19-№21 по вул. Героїв Сталінграду (з ПКД)</t>
  </si>
  <si>
    <t>Реконструкція спортивного майданчика вул. В.Чорновола, 160/1 в м. Черкаси</t>
  </si>
  <si>
    <t>Реконструкція дитячих та спортивних майданчиків по вул. Г.Сталінграду,22 (з ПКД)</t>
  </si>
  <si>
    <t>Реконструкція дитячих та спортивних майданчиків по вул. Козацька,5 (з ПКД)</t>
  </si>
  <si>
    <t>Реконструкція дитячого майданчику за адресою вул. Бидгощська, 5</t>
  </si>
  <si>
    <t>Реконструкція спортивного майданчика на розі вул. Гвардійська та пров. Гвардійський (з ПКД)</t>
  </si>
  <si>
    <t>Реконструкція спортивного майданчику Черкаської спеціалізованої школи І-ІІІ ступенів №3 Черкаської міської ради (з ПКД) (кредиторська заборгованість 2014 року)</t>
  </si>
  <si>
    <t>Придбання комп’ютерної техніки та засобів електронного звязку</t>
  </si>
  <si>
    <t>Модернізація електроустаткування в дитячих навчальних закладах (ремонтування та технічне обслуговування іншого електричного устаткування, зокрема заміна конфорок електроплит на енергозберігаючі)</t>
  </si>
  <si>
    <r>
      <t>Програма здійснення додаткових заходів із мобілізації коштів до міського бюджету на 2012-2016 роки</t>
    </r>
    <r>
      <rPr>
        <sz val="12"/>
        <rFont val="Times New Roman"/>
        <family val="1"/>
      </rPr>
      <t xml:space="preserve"> (Підвищення рівня обслуговування платників та використання сучасних технологій податкового супроводження)</t>
    </r>
  </si>
  <si>
    <t xml:space="preserve">Капітальний ремонт взятих на баланс безгосподарських мереж теплопостачання та гарячого водопостачання </t>
  </si>
  <si>
    <t xml:space="preserve">Капітальний ремонт Будинку траура (з ПКД) </t>
  </si>
  <si>
    <t>Капітальний ремонт внутрішньоквартального проїзду з вул.Ватутіна до буд.239 в м.Черкаси (з ПКД) (кредиторська заборгованість 2014 року)</t>
  </si>
  <si>
    <t>Капітальний ремонт зовнішніх мереж теплопостачання КЗ "Черкаський міський пологовий будинок "Центр матері та дитини" по вул. Чехова 101 в м.Черкаси (з розробкою ПКД)</t>
  </si>
  <si>
    <t>Реконструкція спортивного майданчику по вул. Калініна (біля житлових будинків №41, №43), в м. Черкаси</t>
  </si>
  <si>
    <t>Реконструкція спортивного майданчику по вул. Петровського (біля житлового будинку №163) в м. Черкаси</t>
  </si>
  <si>
    <t>Реконструкція спортивного майданчика по вул. Луначарського у дворі будинків №№1,3,4,5 в м. Черкаси</t>
  </si>
  <si>
    <t>Вересень</t>
  </si>
  <si>
    <t>Жовтень</t>
  </si>
  <si>
    <t>Листопад</t>
  </si>
  <si>
    <t>Грудень</t>
  </si>
  <si>
    <t>ВСЬОГО ДОХОДІВ ПО БЮДЖЕТУ РОЗВИТКУ</t>
  </si>
  <si>
    <t>ВСЬОГО ДЖЕРЕЛА ФІНАНСУВАННЯ</t>
  </si>
  <si>
    <t>Залишок коштів станом на 01.01.2015 року</t>
  </si>
  <si>
    <t>Залишок асигнувань поточного місяця</t>
  </si>
  <si>
    <t>Внески в статутний капітал КП "Кінотеатр Україна", у т.ч.:</t>
  </si>
  <si>
    <t>Капітальний ремонт приміщень (покрівля) КП "Кінотеатр Україна" (з ПКД)</t>
  </si>
  <si>
    <t xml:space="preserve">Капітальний ремонт приміщень (санвузли)  КП "Кінотеатр Україна" (з ПКД) </t>
  </si>
  <si>
    <t xml:space="preserve">Придбання комп’ютерної техніки для ЦБ №4 </t>
  </si>
  <si>
    <t xml:space="preserve">Придбання та встановлення інформаційно-довідкової системи, системи електронної черги на сенсорних дисплеях для 14 робочих місць, мережеві веб-камери для забезпечення прозорості програми соціальної підтримки громадян за принципом "єдиного вікна" в управлінні соціального захисту населення  Придніпровського району </t>
  </si>
  <si>
    <t xml:space="preserve">Капітальний ремонт приміщень (заміна вікон) дошкільного навчального закладу (ясла-садок) комбінованого типу № 45 "Теремок" (з ПКД) </t>
  </si>
  <si>
    <t xml:space="preserve">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 КПТМ "Черкаситеплокомуненерго" </t>
  </si>
  <si>
    <t>Капітальний ремонт внутрішньоквартального проїзду з вул.Горького до буд.12/1; 12/2 в м.Черкаси (з ПКД) (кредиторська заборгованість 2014 року)</t>
  </si>
  <si>
    <t>Капітальний ремонт внутрішньоквартального проїзду з вул.Пастерівської до буд.Пилипенка, 10 в м.Черкаси (з ПКД) (кредиторська заборгованість 2014 року)</t>
  </si>
  <si>
    <t>Капітальний ремонт внутрішньоквартального проїзду з вул. В. Чорновола до буд. 120/1 та буд. 120/2 м. Черкаси (з ПКД) (кредиторська заборгованість 2014 року)</t>
  </si>
  <si>
    <t>Капітальний ремонт внутрішньоквартального проїзду з вул. В. Чорновола до буд. по вул. Радянській, 39/1 вздовж будинку В. Чорновола, 118/1 м. Черкаси (з ПКД) (кредиторська заборгованість 2014 року)</t>
  </si>
  <si>
    <t>Реконструкція вул. Героїв Дніпра в м. Черкаси (з ПКД)</t>
  </si>
  <si>
    <t>Реконструкція  вул. Молоткова, м. Черкаси (з ПКД)</t>
  </si>
  <si>
    <t>Будівництво тротуару парної сторони вул. Хоменка напроти житлового будинку № 18, м. Черкаси</t>
  </si>
  <si>
    <t xml:space="preserve">Будівництво тротуару непарної сторони вул. Калініна вздовж житлових будинків  №103 та №105, м. Черкаси </t>
  </si>
  <si>
    <t>Будівництво частини тротуару парної сторони вул. Богдана Хмельницького від вул. Героїв Дніпра до вул. Гагаріна, м. Черкаси</t>
  </si>
  <si>
    <t>Будівництво тротуару від вул. Смаглія до будівельного ліцею, м. Черкаси</t>
  </si>
  <si>
    <t xml:space="preserve">Капітальний ремонт приміщень (внутрішніх мереж опалення та гарячого водопостачання)  ДНЗ №84 </t>
  </si>
  <si>
    <t>Капітальний ремонт приміщень (внутрішні мережі опалення) (з ПКД)</t>
  </si>
  <si>
    <t>Капітальний ремонт приміщення (санвузлів)  Черкаської загальноосвітньої школи Ι-ΙΙΙ ступенів № 21 (з ПКД)</t>
  </si>
  <si>
    <t>Капітальний ремонт приміщення (санвузлів)  Черкаської загальноосвітньої школи Ι-ΙΙΙ ступенів № 22 (з ПКД)</t>
  </si>
  <si>
    <t>Капітальний ремонт приміщень (санвузли) ЗОШ №24 (з ПКД)</t>
  </si>
  <si>
    <t>Капітальний ремонт приміщень (санвузли) ЗОШ №25 (з ПКД)</t>
  </si>
  <si>
    <t>Капітальний ремонт приміщень (санвузли) ЗОШ №32 (з ПКД)</t>
  </si>
  <si>
    <t>Капітальний ремонт санвузлів Черкаської спеціалізованої школи Ι-ΙΙΙ ступенів № 33</t>
  </si>
  <si>
    <t>Капітальний ремонт приміщень (встановлення лічильника тепла) ЗОШ №21 (з ПКД)</t>
  </si>
  <si>
    <t>Капітальний ремонт житлового будинку по бул. Шевченка,264 (покрівля) (з ПКД)</t>
  </si>
  <si>
    <t xml:space="preserve">Капітальний ремонт житлового будинку по вул. В.Чорновола,247 (покрівля) (з ПКД) </t>
  </si>
  <si>
    <t>Капітальний ремонт блискавозахисту будівлі ЗОШ № 17 по вул. Хрещатик, 218 м Черкаси (з ПКД)</t>
  </si>
  <si>
    <t>на придбання газонокосарок</t>
  </si>
  <si>
    <t>на капітальний ремонт набережної Митниця 1 черга з ПКД</t>
  </si>
  <si>
    <t>Капітальний ремонт НВК ЗОШ ліцей спортивного профілю № 34</t>
  </si>
  <si>
    <t>Капітальний ремонт будівлі (заміна вікон) СШ І-ІІІ № 18 ЧМР (з ПКД)</t>
  </si>
  <si>
    <t>Придбання спортивного інвентарю та обладнання для ЗОШ № 2 ЧМР</t>
  </si>
  <si>
    <t xml:space="preserve">Позашкільні заклади освіти, заходи із позашкільної роботи з дітьми </t>
  </si>
  <si>
    <t xml:space="preserve">Централізовані бухгалтерії обласних, міських, районних відділів освіти </t>
  </si>
  <si>
    <t>0990</t>
  </si>
  <si>
    <t>1040</t>
  </si>
  <si>
    <t>091106</t>
  </si>
  <si>
    <t>110201</t>
  </si>
  <si>
    <t>110204</t>
  </si>
  <si>
    <t>110205</t>
  </si>
  <si>
    <t>0824</t>
  </si>
  <si>
    <t>0828</t>
  </si>
  <si>
    <t>Капітальний ремонт покрівлі Дитячої школи мистецтв  2-го корпусу (з ПКД) (кредиторська заборгованість 2014 року)</t>
  </si>
  <si>
    <t>Капітальний ремонт внутрішніх мереж опалення (встановлення лічильника тепла) Дитячої школи мистецтв (з  ПКД) (кредиторська заборгованість 2014 року)</t>
  </si>
  <si>
    <t>Капітальний ремонт актової зали №2 корпусу Дитячої школи мистецтв (з ПКД) (кредиторська заборгованість 2014 року)</t>
  </si>
  <si>
    <t>Придбання комп'ютерної, копіювальної техніки  для централізованої бухгалтерії №4 (кредиторська заборгованість 2014 року)</t>
  </si>
  <si>
    <t>Капітальний ремонт покрівлі КДЮСШ №2 по вул. 30-річчя Перемоги,36 (з ПКД) (кредиторська заборгованість 2014 року)</t>
  </si>
  <si>
    <r>
      <t>300000</t>
    </r>
    <r>
      <rPr>
        <b/>
        <sz val="14"/>
        <rFont val="Times New Roman"/>
        <family val="1"/>
      </rPr>
      <t xml:space="preserve"> Зовнішнє запозичення</t>
    </r>
  </si>
  <si>
    <t>Капітальний ремонт житлового фонду міської комунальної власності (систем гарячого водопостачання з заміною окремих ділянок трубопроводу та встановленням регуляторів температури) (кредиторська заборгованість 2014 року)</t>
  </si>
  <si>
    <t>Капітальний ремонт споруди під'їзної рампи з облаштуванням пандусами КНП "Черкаська міська інфекційна лікарня" ЧМР (з розробкою ПКД)</t>
  </si>
  <si>
    <t>Придбання дистилятора для КНП "Четверта Черкаська міська поліклініка" ЧМР</t>
  </si>
  <si>
    <t>Капітальний ремонт вхідних груп адміністративних будівель по бул.Шевченка 117, 307</t>
  </si>
  <si>
    <t>Капітальний ремонт житлового фонду міської комунальної власності (плановий та позаплановий капітальний ремонт ліфтів) (кредиторська заборгованість за  2013 рік)</t>
  </si>
  <si>
    <t>Капремонт гуртожитку по вул. Смілянській,90/1</t>
  </si>
  <si>
    <t>Капремонт гуртожитку по вул Хоменка,14 (заміна насосів холодного водопостачання)</t>
  </si>
  <si>
    <t xml:space="preserve"> - електрокардіографи</t>
  </si>
  <si>
    <t>Капітальний ремонт гуртожитку по вул. Ільїна,530 (внутрішні санітарно-технічні та оздоблювальні роботи) (з ПКД) (кредиторська заборгованість 2014 року)</t>
  </si>
  <si>
    <t>Реконструкція приміщень  (покрівля)  дошкільного навчального закладу (ясла-садок) спеціального типу №13 "Золотий ключик"</t>
  </si>
  <si>
    <t>Будівництво свердловини для поливу території  футбольних полів спортивного комплексу по вул. Ярославській, 5 в м.Черкаси</t>
  </si>
  <si>
    <t xml:space="preserve">Реконструкція приміщення актового залу СШ №17    </t>
  </si>
  <si>
    <t>Реконструкція будівлі (утеплення фасаду) Першої міської гімназії ЧМР</t>
  </si>
  <si>
    <t>Код доходів</t>
  </si>
  <si>
    <t>Найменування доходів</t>
  </si>
  <si>
    <t>План на 2015 рік</t>
  </si>
  <si>
    <t>Січень</t>
  </si>
  <si>
    <t>Лютий</t>
  </si>
  <si>
    <t>Березень</t>
  </si>
  <si>
    <t>Квітень</t>
  </si>
  <si>
    <t>Травень</t>
  </si>
  <si>
    <t>Червень</t>
  </si>
  <si>
    <t>Липень</t>
  </si>
  <si>
    <t xml:space="preserve"> - монітор цілодобового спостереження для реанімаційних хворих</t>
  </si>
  <si>
    <t xml:space="preserve"> - шприцеві насоси</t>
  </si>
  <si>
    <t xml:space="preserve"> - фіброгастроскоп</t>
  </si>
  <si>
    <t xml:space="preserve"> - фібробронхоскоп</t>
  </si>
  <si>
    <t xml:space="preserve"> - аргонно-плазмовий коагулятор електрохірургічний</t>
  </si>
  <si>
    <t xml:space="preserve"> - електрокардіографи 3-х канальні</t>
  </si>
  <si>
    <t xml:space="preserve"> - операційний мікроскоп</t>
  </si>
  <si>
    <t>Капітальний ремонт приміщень (санвузли) КП "Спорткомплекс "Будівельник" (з ПКД)</t>
  </si>
  <si>
    <t xml:space="preserve">Придбання обладнання для первинної медико-санітарної допомоги згідно табелю оснащення: </t>
  </si>
  <si>
    <t xml:space="preserve"> - автоматизовані робочі місця</t>
  </si>
  <si>
    <t xml:space="preserve"> - холодильне обладнання</t>
  </si>
  <si>
    <t xml:space="preserve"> - сумки-укладки</t>
  </si>
  <si>
    <t>Реконструкція житлового будинку по вул. Фрунзе,24 (1,2,3 під'їзд) (заміна склоблоків зовнішньої стіни у під'їздах на металопластикові віконні блоки) (з ПКД) (кредиторська заборгованість 2014 року)</t>
  </si>
  <si>
    <t>Придбання ендоскопічного обладнання (фіброколоноскоп) в КНП "Перша Черкаська міська лікарня"ЧМР</t>
  </si>
  <si>
    <t>Капітальний ремонт внутрішньоквартального проїзду з вул. В. Чорновола до буд. вул. Гвардійської, 31/1  з установкою бордюрного каменя м. Черкаси (ПКД)</t>
  </si>
  <si>
    <t>Придбання автоматичного регулятора температури для дитячої поліклініки № 1 Черкаської міської дитячої лікарні (кредиторська заборгованість 2014 року)</t>
  </si>
  <si>
    <t>75 Департамент фінансової політики</t>
  </si>
  <si>
    <t xml:space="preserve">Придбання комп'ютерної техніки та засобів електронного зв'язку </t>
  </si>
  <si>
    <t>Капітальний ремонт приміщень (заміна вікон) дошкільного навчального закладу (ясла-садок) № 87  "Дельфін" (з ПКД)</t>
  </si>
  <si>
    <t>Капітальний ремонт внутрішніх мереж опалення та гарячого водопостачання ДНЗ №83</t>
  </si>
  <si>
    <t>Капітальний ремонт приміщень (спортивний зал) ЗОШ № 19 (з ПКД)</t>
  </si>
  <si>
    <t>Реконструкція фасаду будівлі Черкаської гімназії № 9 ім. Луценка О.М. м. Черкаси</t>
  </si>
  <si>
    <t xml:space="preserve">Капітальний ремонт приміщень (заміна вікон) ДНЗ № 76 Черкаської міської ради (з ПКД)            </t>
  </si>
  <si>
    <t>Капітальний ремонт внутрішніх інженерних мереж (каналізація, водопостачання) ДНЗ №72 ( з ПКД) (кредиторська заборгованість 2014 року)</t>
  </si>
  <si>
    <t>Будівництво літнього майданчику для стрільби з лука на фізкультурно-оздоровчому комплексі по вул. Ярославській, 5 м.Черкаси (з ПКД)</t>
  </si>
  <si>
    <t>Реконструкція пам'ятника  загиблим воїнам, які виконували свій інтернаціональний обов'язок в Афганістані в єдиному меморіальному комплексі по бульв. Шевченка в м. Черкаси</t>
  </si>
  <si>
    <t>Реконструкція спортивного майданчику по вул. Сєдова (біля житлового будинку №31/1) в м. Черкаси</t>
  </si>
  <si>
    <t>Будівництво добудови спортивного залу школи І-ІІІ ступенів №18 по вул. Нечуй Левицького, 12 в м. Черкаси</t>
  </si>
  <si>
    <t xml:space="preserve">Будівництво проїздів до пляжу для людей з особливими потребами напроти будинків по вул. Смірнова, 2 та Г. Дніпра, 49 (з ПКД) </t>
  </si>
  <si>
    <t>Внески в статутний капітал  КП "Інститут розвитку міста", у т.ч.:</t>
  </si>
  <si>
    <t>на впровадження ГІС</t>
  </si>
  <si>
    <t>на придбання клієнтського програмного забезпечення та апаратного забезпечення для створення ГІС</t>
  </si>
  <si>
    <t>на придбання нової комп’ютерної техніки</t>
  </si>
  <si>
    <t>Капітальний ремонт покрівель будівлі по вул. Благовісній, 170</t>
  </si>
  <si>
    <t>Капітальний ремонт нежитлових приміщень по вул.Рєпіна,12/1 для розміщення центру обліку бездомних громадян з відділенням нічного перебування (з ПКД)</t>
  </si>
  <si>
    <t>Капітальний  ремонт  будівлі по вул. В. Чорновола, 54 для проведення навчально-тренувальних занять відділень ДЮСШ міста (з  ПКД) (кредиторська заборгованість 2014 року)</t>
  </si>
  <si>
    <t>Капітальний ремонт нежитлових приміщень по вул.Рєпіна,12/1 для розміщення центру обліку бездомних громадян з відділенням нічного перебування (з ПКД) (кредиторська заборгованість 2014 року)</t>
  </si>
  <si>
    <t>Реконструкція із застосуванням щебенево-мастичного асфальтобетону вул. Благовісної від вул. Котовського до вул. Енгельса (з ПКД)</t>
  </si>
  <si>
    <t>Будівництво свердловини для поливу території футбольних полів спортивного комплексу по вул. Ярославська 5, м. Черкаси (з ПКД) (кредиторська заборгованість 2014 року)</t>
  </si>
  <si>
    <t xml:space="preserve">Реконструкція покрівлі ДНЗ № 13 (кредиторська заборгованість 2014 року) </t>
  </si>
  <si>
    <t>Придбання електрокардіографа для комунального некомерційного підприємства "Черкаська міська інфекційна лікарня" Черкаської міської ради  (за рахунок субвенції з обласного бюджету)</t>
  </si>
  <si>
    <t>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t>
  </si>
  <si>
    <t>Капітальний ремонт вул.Вербовецького від вул. Толстого до вул.Портової</t>
  </si>
  <si>
    <t>Капітальний ремонт вул.Одеська  від вул. Лісова Просіка до вул. Онопрієнка</t>
  </si>
  <si>
    <t>Реконструкція житлового будинку по вул. Фрунзе,24 (1,2,3 під'їзд) (заміна склоблоків зовнішньої стіни у під'їздах на металопластикові віконні блоки) (з ПКД)</t>
  </si>
  <si>
    <t>РАЗОМ ВИДАТКІВ:</t>
  </si>
  <si>
    <t>Найменування
згідно з типовою відомчою/тимчасовою класифікацією видатків та кредитування місцевого бюджету</t>
  </si>
  <si>
    <t>200100</t>
  </si>
  <si>
    <t xml:space="preserve">Охорона та раціональне використання водних ресурсів </t>
  </si>
  <si>
    <t>200700</t>
  </si>
  <si>
    <t>0540</t>
  </si>
  <si>
    <t>Інші природоохоронні заходи</t>
  </si>
  <si>
    <t>Капітальний ремонт будівлі терапевтичного відділення з ліжками паліативного лікування КНП ЧМР "Друга Черкаська міська лікарня відновного лікування" (ремонт мереж водовідведення та водопостачання) (з розробкою ПКД)</t>
  </si>
  <si>
    <t>Капітальний ремонт будівлі дезкамери КНП ЧМР "Друга Черкаська міська лікарня відновного лікування"</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</si>
  <si>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</si>
  <si>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3-х поверхового лікувального корпусу КНП "Перша Черкаська міська лікарня"ЧМР (з розробкою ПКД)</t>
  </si>
  <si>
    <t>Субвенція з місцевого бюджету державному бюджету на виконання програм соціально-економічного та культурного розвитку регіонів </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</si>
  <si>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</si>
  <si>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</si>
  <si>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</si>
  <si>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</si>
  <si>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</si>
  <si>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</si>
  <si>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</si>
  <si>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</si>
  <si>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</si>
  <si>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</si>
  <si>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</si>
  <si>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</si>
  <si>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Капітальний ремонт вул. Гагаріна (встановлення світлофору біля будинку № 21 в м.Черкаси) (з ПКД)</t>
  </si>
  <si>
    <t>Капітальний ремонт вул. Г. Сталінграда (встановлення світлофору на перехресті з вул.Орджонікідзе)</t>
  </si>
  <si>
    <t>Реконструкція вул. Сурікова</t>
  </si>
  <si>
    <t>Капітальний ремонт шляхопроводу просп. Хіміків (з ПКД)</t>
  </si>
  <si>
    <t>Капітальний ремонт замощення алеї від вхідної групи до адміністративної будівлі КП “Центральний стадіон” по вул.Смілянська, 78 м.Черкаси (з ПКД) (кредиторська заборгованість 2014 року)</t>
  </si>
  <si>
    <t>Капітальний ремонт приміщень (електромережа на харчоблоці) ДНЗ №30 (з ПКД)</t>
  </si>
  <si>
    <t>Придбання плити з духовкою для ДНЗ № 45</t>
  </si>
  <si>
    <t>Капітальний ремонт приміщень (вентиляційна система на харчоблоці) ДНЗ № 23 "Струмочок" (з ПКД)</t>
  </si>
  <si>
    <t>Капітальний ремонт приміщення тиру Черкаської гімназії  І-ІІІ ступенів № 9  Черкаської міської ради ім. Луценка О.М (з ПКД) (кредиторська заборгованість 2014 року)</t>
  </si>
  <si>
    <t>Капітальний ремонт внутрішніх мереж опалення та гарячого водопостачання (з ПКД):  у.т.ч.</t>
  </si>
  <si>
    <t>Капітальний ремонт фасаду з установкою пандусу ЗОШ І-ІІІ ступенів №6</t>
  </si>
  <si>
    <t>Капітальний ремонт приміщень (заміна  вікон) загальноосвітньої школи І-ІІІ ступенів № 8</t>
  </si>
  <si>
    <t>Капітальний ремонт приміщень (заміна вікон)  Черкаської загальноосвітньої школи №2</t>
  </si>
  <si>
    <t>Капітальний ремонт приміщень Черкаської загальноосвітньої школи Ι-ΙΙΙ ступенів № 4 (з ПКД)</t>
  </si>
  <si>
    <t>Придбання побутової техніки для ДНЗ міста</t>
  </si>
  <si>
    <t>Капітальний ремонт приміщень (покрівля)  дошкільного навчального закладу (ясла-садок)№ 50  "Світлофорчик" (з ПКД)</t>
  </si>
  <si>
    <t>Капітальний ремонт приміщень (покрівля)  дошкільного навчального закладу (ясла-садок) №59 "Петрушка"</t>
  </si>
  <si>
    <t>Капітальний ремонт приміщень (внутрішніх мереж опалення та гарячого водопостачання) ДНЗ № 73</t>
  </si>
  <si>
    <t>Капітальний ремонт приміщень дошкільного навчального закладу (ясла-садок) комбінованого типу №5 "Червона гвоздика"</t>
  </si>
  <si>
    <t>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t>
  </si>
  <si>
    <t>3132-478878,0
3210-443122,0</t>
  </si>
  <si>
    <t>Капітальний ремонт приміщень (внутрішні мережі опалення) ДНЗ № 62 (з ПКД)</t>
  </si>
  <si>
    <t>Капітальний ремонт ДНЗ № 62 (зовнішні мережі опалення)</t>
  </si>
  <si>
    <t>Капітальний ремонт приміщення майнового комплексу за адресою вул.Благовісна, 170 для ресурсного центру для підтримки громадських ініціатив та співпраці з громадськими організаціями</t>
  </si>
  <si>
    <t>03 Департамент управління справами та юридичного забезпечення</t>
  </si>
  <si>
    <t>Придбання комп'ютерної, копіювальної та іншої оргтехніки</t>
  </si>
  <si>
    <t>Реконструкція існуючих  мереж зовнішнього освітлення прибудинкової території житлових будинків №33,37 по вул Гагаріна і  житлового будинку №81,89 по вул. Г.Дніпра та від ж/б  № 39 по вул. Гагаріна до ДНЗ № 34</t>
  </si>
  <si>
    <t>Придбання комп'ютерів для ДНЗ міста (6 шт.)</t>
  </si>
  <si>
    <t>Капітальний ремонт будівлі акушерського корпусу (палати інтенсивної терапії) КЗ "Черкаський міський пологовий будинок "Центр матері та дитини"по вул. Чехова 101, м. Черкаси (з розробкою ПКД)</t>
  </si>
  <si>
    <t>Капітальний ремонт приміщень (заміна вікон) Черкаської загальноосвітньої школи   Ι-ΙΙΙ ступенів № 32 (з ПКД)</t>
  </si>
  <si>
    <t>Проведення заміни вікон (демонтаж старих на енергозберігаючі з металопласту) в трьох корпусах та переходах між ними адміністративної будівлі територіального центру соціальної допомоги Придніпровського району м.Черкаси за адресою: вул. Гвардійська, 7/5 (з ПКД)</t>
  </si>
  <si>
    <t>Придбання реабілітаційного обладнання для територіального центру соціальної допомоги Соснівського району м.Черкаси</t>
  </si>
  <si>
    <t>Придбання комп'ютерної техніки</t>
  </si>
  <si>
    <t>ДНЗ №21 (кредиторська заборгованість 2014 року)</t>
  </si>
  <si>
    <t>Реконструкція приміщення по вул.Котовського 63 в м. Черкаси (для створення Черкаського археологічного музею Середньої Наддніпрянщини) (з ПКД)</t>
  </si>
  <si>
    <t>Придбання обладнання, будівельних матеріалів для ремонту приміщень Черкаської міської дитячої лікарні (за рахунок субвенції з обласного бюджету)</t>
  </si>
  <si>
    <t>Капітальний ремонт приміщень (заміна вікон)  дошкільного навчального закладу (ясла-садок)№ 69 "Росинка" (з ПКД)</t>
  </si>
  <si>
    <t>Придбання кондиціонерів для ЦБ 1</t>
  </si>
  <si>
    <t>Придбання електроплит в дошкільні навчальні заклади міста</t>
  </si>
  <si>
    <t xml:space="preserve">Капітальний ремонт приміщень (заміна вікон) дошкільного навчального закладу (ясла-садок)  "Вербиченька" № 18, вул. Невського, 25 (з ПКД) </t>
  </si>
  <si>
    <t>Капітальний ремонт приміщень (заміна вікон, рекреації та актової зали) Черкаської спеціалізованої школи Ι-ΙΙΙ ступенів №13  (з ПКД)</t>
  </si>
  <si>
    <t>Капітальний ремонт приміщень (санвузли) Черкаської спеціалізованої школи Ι-ΙΙΙ ступенів №13</t>
  </si>
  <si>
    <t>Капітальний ремонт приміщень корпусу № 2 Черкаської спеціалізованої школи Ι-ΙΙΙ ступенів №13 (з ПКД)</t>
  </si>
  <si>
    <t>ЗОШІ-ІІІ ступенів  № 7 (кредиторська заборгованість 2014 року)</t>
  </si>
  <si>
    <t>Капітальний ремонт приміщень ЗНЗ міста ( з ПКД), у т.ч.:</t>
  </si>
  <si>
    <t xml:space="preserve">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t>
  </si>
  <si>
    <t xml:space="preserve">Організація та проведення аукціонів по продажу землі та права користування нею 
</t>
  </si>
  <si>
    <t>Придбання та встановлення лічильника тепла буд. по бул.Шевченка,117</t>
  </si>
  <si>
    <t>Підвищення ефективності та функціонування центрів надання адміністративних послуг шляхом покращення її матеріально-технічного забезпечення (на умовах співфінансування з іншими місцевими бюджетами) у рамках виконання програми економічного і соціального розвитку Черкаської області на 2015 рік (за рахунок субвенції з обласного бюджету)</t>
  </si>
  <si>
    <t>1030</t>
  </si>
  <si>
    <t>0111</t>
  </si>
  <si>
    <t>Код функціональної класифікації видатків та кредитування бюджету</t>
  </si>
  <si>
    <t>010116</t>
  </si>
  <si>
    <t xml:space="preserve">Загальний обсяг фінансування будівництва </t>
  </si>
  <si>
    <t xml:space="preserve">Відсоток завершеності  будівництва об'єктів на майбутні роки </t>
  </si>
  <si>
    <t xml:space="preserve"> Всього видатків на завершення будівництва об’єктів на майбутні роки </t>
  </si>
  <si>
    <t>150101</t>
  </si>
  <si>
    <t>0490</t>
  </si>
  <si>
    <t>Код тимчасової класифікації видатків та кредитування місцевого бюджету</t>
  </si>
  <si>
    <t>КЕКВ</t>
  </si>
  <si>
    <r>
      <t>31030000</t>
    </r>
    <r>
      <rPr>
        <b/>
        <sz val="14"/>
        <rFont val="Times New Roman"/>
        <family val="1"/>
      </rPr>
      <t xml:space="preserve"> Кошти від відчуження майна, що належить Автономній Республіці Крим та майна, що перебуває в комунальній власності  </t>
    </r>
  </si>
  <si>
    <t>Надання співфінансування ОСББ  на виконання капітальних ремонтів:
 -енергозберігаючі заходи;
 -інші види робіт (покрівлі, інженерні мережі і т.п.)</t>
  </si>
  <si>
    <t xml:space="preserve">Капітальний ремонт приміщень (заміна  вікон) загальноосвітньої школи І-ІІІ ступенів № 6 </t>
  </si>
  <si>
    <t>Капітальний ремонт приміщень (заміна вікон) Черкаської загальноосвітньої школи Ι-ΙΙΙ ступенів № 21</t>
  </si>
  <si>
    <t xml:space="preserve">Капітальний ремонт фасаду, заміна вікон та дворової вхідної групи будівлі Черкаської спеціалізованої школи I-III ступенів №20 Черкаської міської ради </t>
  </si>
  <si>
    <t xml:space="preserve">Благоустрій міст, сіл, селищ </t>
  </si>
  <si>
    <t>170603</t>
  </si>
  <si>
    <t>0455</t>
  </si>
  <si>
    <t>0320</t>
  </si>
  <si>
    <t>0511</t>
  </si>
  <si>
    <t xml:space="preserve">Збереження природно-заповідного фонду </t>
  </si>
  <si>
    <t>0520</t>
  </si>
  <si>
    <t>0133</t>
  </si>
  <si>
    <t>Капітальний ремонт будівлі гінекологічного корпусу (встановлення ІТП погодного регулювання) КЗ "Черкаський міський пологовий будинок "Центр матері та дитини" по вул. Чехова 101, м. Черкаси (з розробкою ПКД)</t>
  </si>
  <si>
    <t>Капітальний ремонт внутрішніх мереж опалення та гарячого водопостачання ( з ПКД) ДНЗ  Черкаської міської ради в т.ч.:</t>
  </si>
  <si>
    <t>Капітальний ремонт приміщень ДНЗ №90 (з ПКД)</t>
  </si>
  <si>
    <t xml:space="preserve">Капітальний ремонт покрівлі ДНЗ №90 </t>
  </si>
  <si>
    <t>Капітальний ремонт приміщень (заміна вікон) дошкільного навчального закладу (ясла-садок) № 23 "Струмочок" (з ПКД)</t>
  </si>
  <si>
    <t>Капітальний ремонт приміщень (заміна вікон) дошкільного навчального закладу №25</t>
  </si>
  <si>
    <t>Капітальний ремонт будівлі КЗ "Третя Черкаська міська лікарня швидкої медичної допомоги" ЧМР (капітальний ремонт та експертне обстеження ліфтів) (з розробкою ПКД)</t>
  </si>
  <si>
    <t>Придбання побутової техніки (холодильник) для ДНЗ (ясла-садок) №23 "Струмочок"</t>
  </si>
  <si>
    <t>Будівництво мереж зовнішнього освітлення вул.Пацаєва від кінцевої зупинки транспорту громадського користування "вулиця Пацаєва" до Пацаєва, 53</t>
  </si>
  <si>
    <t>Будівництво міського кладовища в районі вул. Промислової та станції Заводської (І черга)</t>
  </si>
  <si>
    <t xml:space="preserve">Створення Центру управління дорожнім рухом та громадським транспортом міста </t>
  </si>
  <si>
    <t>Будівництво світлофорних об'єктів (завершення робіт, що розпочаті у попередні бюджетні періоди)</t>
  </si>
  <si>
    <t>Будівництво світлофорного об'єкту по вул. Смілянській в районі зоопарку (біля будівлі № 144) (завершення робіт, що розпочаті у 2012 році)</t>
  </si>
  <si>
    <t xml:space="preserve">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</si>
  <si>
    <t>090203</t>
  </si>
  <si>
    <t>Капітальний ремонт будівлі акушерського корпусу (встановлення ІТП погодного регулювання) КЗ "Черкаський міський пологовий будинок "Центр матері та дитини"по вул. Чехова 101, м. Черкаси (з розробкою ПКД)</t>
  </si>
  <si>
    <t>КНП "Четверта Черкаська міська поліклініка" ЧМР (кредиторська заборгованість 2014 року)</t>
  </si>
  <si>
    <t>Придбання стерилізаторів для медичного інструментарію:</t>
  </si>
  <si>
    <t>Капітальний ремонт приміщень (покрівля) Черкаського дошкільного навчального закладу (ясла-садок) №78 "Джерельце" Черкаської міської ради (з ПКД)</t>
  </si>
  <si>
    <t xml:space="preserve">Капітальний ремонт приміщень (заміна вікон) дошкільного навчального закладу (ясла-садок)  "Вербиченька" № 30 (з ПКД) </t>
  </si>
  <si>
    <t>02 Департамент організаційного забезпечення ЧМР</t>
  </si>
  <si>
    <t>Реконструкція системи опалення,монтаж вузла обліку тепла  ЗОШ І-ІІІ ступенів № 30 Черкаської міської ради (з ПКД) (кредиторська заборгованість 2014 року)</t>
  </si>
  <si>
    <t>Реконструкція приміщень під танцювальну залу Черкаського міського багатопрофільного молодіжного центру за адресою вул. Благовісна, 170 (з ПКД)</t>
  </si>
  <si>
    <t>Капітальний ремонт приміщення ЗОШ І-ІІІ ступенів № 7 ЧМР (ліквідація аварійного стану будівлі) (з ПКД) (кредиторська заборгованість 2014 року)</t>
  </si>
  <si>
    <t>Капітальний ремонт покрівлі адміністративної будівлі територіального центру соціальної допомоги Придніпровського району м. Черкаси за адресою м. Черкаси, провулок Гвардійський, 7/5 (з ПКД) (кредиторська заборгованість 2014 року)</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</si>
  <si>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</si>
  <si>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Капітальний ремонт тротуарів по вул. Вербовецького від вул. Орджонікідзе до бул. Шевченка, м. Черкаси</t>
  </si>
  <si>
    <t xml:space="preserve"> - дефібрилятор-монітор</t>
  </si>
  <si>
    <t xml:space="preserve">Капітальний ремонт приміщень (заміна вікон) ДНЗ №83 "Лісова казка" (з ПКД) </t>
  </si>
  <si>
    <t xml:space="preserve">Капітальний ремонт приміщень (музична зала) ДНЗ №39 (з ПКД) </t>
  </si>
  <si>
    <t xml:space="preserve">Капітальний ремонт приміщень (утеплення фасаду) Черкаського дошкільного навчального закладу (ясла-садок)  №2"Сонечко" Черкаської міської ради (з ПКД) </t>
  </si>
  <si>
    <t>Капітальний ремонт приміщень (утеплення фасаду) старого корпусу ДНЗ №13 (з ПКД)</t>
  </si>
  <si>
    <t>Придбання комп’ютерів та оргтехніки для дитячої музичної школи №5, дитячої музичної школи №3, дитячої музичної школи  №2, дитячої музичної школ№1, дитячої школи мистецтв (кредиторська заборгованість 2014 року)</t>
  </si>
  <si>
    <t>Придбання прапорових конструкцій та встановлення їх на опорах ЛЕП в районі перехрестя вул. Онопрієнка та вул. Луначарського (виконання проектів, затвердження в 2012 році)</t>
  </si>
  <si>
    <t>Капітальний ремонт приміщення майнового комплексу за адресою вул.Благовісна, 170 (покрівля корпусу К-2 та корпусу Л-2)</t>
  </si>
  <si>
    <t>Капітальний ремонт приміщення майнового комплексу за адресою вул. Благовісна, 170 (корпус І-4, 2-й поверх)</t>
  </si>
  <si>
    <t xml:space="preserve">Капітальний ремонт житлового будинку по вул. Одеська, 14 (покрівля) (з ПКД) </t>
  </si>
  <si>
    <t>Внески в статутний капітал КП "Черкасиелектротранс", у т.ч.:</t>
  </si>
  <si>
    <t>Капітальний ремонт контактної мережі</t>
  </si>
  <si>
    <t>Придбання холодильника для ДНЗ № 55</t>
  </si>
  <si>
    <t>Створення (капітальний ремонт) доріжок в парку "50-річчя Радянської влади"</t>
  </si>
  <si>
    <t>Реконструкція гідротехнічної споруди фонтану в парку «50-річчя Радянської влади» з виготовленням проектно-кошторисної документації</t>
  </si>
  <si>
    <t>Будівництво зони відпочинку - сквер "Водограй м. Черкаси"</t>
  </si>
  <si>
    <t>Капітальний ремонт приміщень (ремонт та заміна підлоги) Черкаського клубу юних моряків з флотилією  за адресою бул.Шевченка, 298 (з ПКД)</t>
  </si>
  <si>
    <t>Капітальний ремонт корпусу навчального судна УС-0025 (Ярославець) Черкаського клубу юних моряків з флотилією</t>
  </si>
  <si>
    <t>Придбання комп'ютерів та обладнання для ЦБ1</t>
  </si>
  <si>
    <t>Капітальний ремонт приміщень (центральний вхід) Черкаського міського палацу молоді</t>
  </si>
  <si>
    <t>ДНЗ №1 вул. Хрещатик, 135 (кредиторська заборгованість 2014 року)</t>
  </si>
  <si>
    <t>ДНЗ №2 вул. Хрещатик, 261 (кредиторська заборгованість 2014 року)</t>
  </si>
  <si>
    <t>ДНЗ №7 пер. Південний 18 (кредиторська заборгованість 2014 року)</t>
  </si>
  <si>
    <t>ДНЗ № 21 бул. Шевченка, 179 (кредиторська заборгованість 2014 року)</t>
  </si>
  <si>
    <t>ДНЗ № 31 вул. Піонерська, 59 (кредиторська заборгованість 2014 року)</t>
  </si>
  <si>
    <t>Реконструкція системи вентиляції танцювального залу Черкаського міського Будинку культури ім. Івана Кулика (з ПКД) (кредиторська заборгованість минулих років)</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</si>
  <si>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 (кредиторська заборгованість минулих років)</t>
  </si>
  <si>
    <t>Капітальний ремонт вул.Університетської від вул.Хрещатик до вул.Кавказької</t>
  </si>
  <si>
    <t>Капітальний ремонт приміщень (санвузли) ДЮСШ "Дніпро-80" (з ПКД)</t>
  </si>
  <si>
    <t>Капітальний ремонт будівлі (покрівля) ЗОШ № 29 (з ПКД)</t>
  </si>
  <si>
    <t>Прибдання інтерактивного лазерного тренажерного комплексу для вогневої підготовки зі стрілецької зброї</t>
  </si>
  <si>
    <t>Капітальний ремонт будівлі (покрівля) станції юних техніків (з ПКД)</t>
  </si>
  <si>
    <t>Капітальний ремонт будівлі (заміна вікон) ДНЗ № 29 "Ластівка" (з ПКД)</t>
  </si>
  <si>
    <t xml:space="preserve">Будівництво мереж зовнішнього освітлення прибудинкової території між ж/б  №№  8, 8/1, 10, 10/1 по вул.Нечуя Левицького </t>
  </si>
  <si>
    <t xml:space="preserve"> - фетальні монітори</t>
  </si>
  <si>
    <t>Капітальний ремонт приміщень (центральний вхід) ДЮСШ "Дніпро-80" (з ПКД)</t>
  </si>
  <si>
    <t>Капітальний ремонт вул.Кірова (від бул. Шевченка до вул. Хрещатик) (з ПКД)</t>
  </si>
  <si>
    <t xml:space="preserve">Реконструкція із застосуванням щебенево-мастичного афальтобетону проспекту Хіміків від вул. Смілянська до вул. Першотравневої в м. Черкаси </t>
  </si>
  <si>
    <t>Капітальний ремонт проїздів по вул. Чехова 106,108,110; вул. Горького 130;  вул. Ватутіна 173, 173/1, 173/2, Чехова 54,56, Петровського 185, 187</t>
  </si>
  <si>
    <t xml:space="preserve"> Внески в статутний капітал КП "Черкаситеплокомуненерго", у т.ч.:</t>
  </si>
  <si>
    <t>Придбання УЗД комплексу з доплером для Черкаської міської дитячої лікарні</t>
  </si>
  <si>
    <t>Реконструкція мереж зовнішнього освітлення вул. Калініна (вул. Горького до вул. Вербовецького)</t>
  </si>
  <si>
    <t>Реконструкція мереж зовнішнього освітлення прибудинкової території житлових будинків по вул. Гагаріна 21,25,27</t>
  </si>
  <si>
    <t>Капітальний ремонт будівлі Черкаської міської дитячої лікарні (капітальний ремонт та експертне обстеження ліфтів) (з розробкою ПКД)</t>
  </si>
  <si>
    <t>Капітальний ремонт приміщень ДНЗ № 57 "Васильок" по вул. Толстого, 73/1 (з ПКД)</t>
  </si>
  <si>
    <t>Реконструкція спортивного майданчика Першої міської гімназії Черкаської міської ради</t>
  </si>
  <si>
    <t>250380</t>
  </si>
  <si>
    <t>Інші субвенції</t>
  </si>
  <si>
    <t xml:space="preserve">Субвенція обласному бюджету на об'єкт "Встановлення пам'ятного знаку Луці Кримському в місті Черкасах"  </t>
  </si>
  <si>
    <t xml:space="preserve">Субвенція обласному бюджету на об'єкт "Придбання відеолапароскопічної стійки з набором ендоскопічних інструментів для КЗ "Черкаська обласна дитяча лікарня" Черкаської обласної ради" </t>
  </si>
  <si>
    <t>Будівництво мереж зовнішнього освітлення прибудинкової території житлового будинку № 94 по вул. Орджонікідзе з використанням енергоефективних технологій</t>
  </si>
  <si>
    <t>Будівництво мереж зовнішнього освітлення прибудинкових територій житлових будинків №№ 5, 7, 7/1 по вул. Пацаєва з використанням енергоефективних технологій</t>
  </si>
  <si>
    <t xml:space="preserve">Проведення невідкладних відновлювальних робіт, будівництво та реконструкція лікарень загального профілю </t>
  </si>
  <si>
    <t>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 (кредиторська заборгованість 2014 року)</t>
  </si>
  <si>
    <t>1020</t>
  </si>
  <si>
    <t>Капітальний ремонт тротуару від Алеї Путейко вздовж будинку по вул. Ярославській, №36 у напрямку входу до ЗОШ №30</t>
  </si>
  <si>
    <t>Капітальний ремонт мереж зливової каналізації по провулку Герцена в м.Черкаси</t>
  </si>
  <si>
    <t>Капітальний ремонт спортивних майданчиків (бігових доріжок) КП "Центральний стадіон", м. Черкаси, вул. Смілянська, 78(кредиторська заборгованість минулих років)</t>
  </si>
  <si>
    <t>Капітальний ремонт тротуару непарної сторони вул. Горького від бул. Шевченка до вул. Гоголя, м. Черкаси</t>
  </si>
  <si>
    <t>Капітальний ремонт тротуарів парної сторони вул. В'ячеслава Чорновола від вул. Бидгощської до вул. Радянської, м. Черкаси</t>
  </si>
  <si>
    <t>Капітальний ремонт внутрішньоквартального проїзду з вул.Горького до буд.12/1; 12/2 в м.Черкаси (з ПКД)</t>
  </si>
  <si>
    <t>Реконструкція пров. Зелений від пров. Айвазовського до вул. Бидгощської м. Черкаси</t>
  </si>
  <si>
    <t>210110</t>
  </si>
  <si>
    <t xml:space="preserve">Інші культурно-освітні заклади та заходи </t>
  </si>
  <si>
    <t>Капітальний ремонт внутрішньоквартального проїзду пров. Коцюбинського між вул. Пастерівської та Р. Люксембург м. Черкаси (з ПКД) (кредиторська заборгованість 2014 року)</t>
  </si>
  <si>
    <t>Капітальний ремонт тротуару парної сторони вул. Горького від вул. Орджонікідзе до бул. Шевченка, м. Черкаси (кредиторська заборгованість 2014 року)</t>
  </si>
  <si>
    <t>Капітальний ремонт внутрішньоквартального проїзду з вул. Ватутіна до буд. № 239 (кредиторська заборгованість 2014 року)</t>
  </si>
  <si>
    <t>Реконструкція із застосуванням щебенево-мастичного асфальтобетону вул. Ільїна від вул. Котовського до вул. Енгельса (з ПКД)</t>
  </si>
  <si>
    <t>Реконструкція із застосуванням щебенево-мастичного асфальтобетону вул. Смілянської від вул. Фрунзе до вул. 30- річчя Перемоги (з ПКД)</t>
  </si>
  <si>
    <t>Будівництво пандусів для людей з особливими потребами в загальноосвітніх навчальних закладах міста (в т.ч. ПКД) ЗОШ І-ІІІ ступенів№10,15,21,НВК ЗОШ І-ІІІ ступенів -ліцей спортивного профілю №34,СШ І-ІІІ  ступенів №28 Черкаської міської ради (кредиторська заборгованість 2014 року)</t>
  </si>
  <si>
    <t>Реконструкція алеї у Першотравневому парку по вул. Ільїна, 212 у м. Черкаси (з ПКД)</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</si>
  <si>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t>
  </si>
  <si>
    <t>14 Департамент охорони здоров'я та медичних послуг ЧМР</t>
  </si>
  <si>
    <t>48 Департамент архітектури, містобудування та інспектування ЧМР</t>
  </si>
  <si>
    <t>73 Департамент економіки та розвитку ЧМР</t>
  </si>
  <si>
    <t>0180</t>
  </si>
  <si>
    <t>0456</t>
  </si>
  <si>
    <t>Реконструкція мереж зовнішнього освітлення із застосуванням енергозберігаючих технологій по бул. Шевченка (з ПКД)</t>
  </si>
  <si>
    <t>Реконструкція існуючих мереж зовнішнього освітлення по вул. Ватутіна (від вул. Рябоконя до вул. Пацаєва)</t>
  </si>
  <si>
    <t>Реконструкція існуючих мереж зовнішнього освітлення по вул. Канівській</t>
  </si>
  <si>
    <t>Реконструкція приміщення актового залу СШ І-ІІІ ступенів № 17 Черкаської міської ради (кредиторська заборгованість 2014 року)</t>
  </si>
  <si>
    <t>Реконструкція фасаду будівлі гімназії №9 (кредиторська заборгованість 2014 року)</t>
  </si>
  <si>
    <t>ДНЗ № 78 (кредиторська заборгованість 2014 року)</t>
  </si>
  <si>
    <t>Капітальний ремонт приміщень (заміна вікон)  ДНЗ № 69, № 89, № 87 (з ПКД) (кредиторська заборгованість 2014 року)</t>
  </si>
  <si>
    <t>Реконструкція будівлі (утеплення фасаду) Першої міської гімназії Черкаської міської ради Черкаської області (кредиторська заборгованість 2014 року)</t>
  </si>
  <si>
    <t xml:space="preserve">Проведення невідкладних відновлювальних робіт, будівництво та реконструкція позашкільних навчальних закладів </t>
  </si>
  <si>
    <t>Реконструкція будівлі позашкільного навчального закладу "Клуб юних моряків з флотилією" по бул.Шевченка,298 (з ПКД) (кредиторська заборгованість 2014 року)</t>
  </si>
  <si>
    <t xml:space="preserve">Лікарні </t>
  </si>
  <si>
    <t>Капітальний ремонт покрівлі 3-х поверхового лікувального корпусу КНП "Перша Черкаська міська лікарня" ЧМР (з ПКД) (кредиторська заборгованість 2014 року)</t>
  </si>
  <si>
    <t>Перша міська гімназія вул. Кірова, 68 (кредиторська заборгованість 2014 року)</t>
  </si>
  <si>
    <t>СШ №3 вул. Байди Вишневецького, 58 (кредиторська заборгованість 2014 року)</t>
  </si>
  <si>
    <t>ЗОШ № 7 вул. Червоноармійська, 13 (кредиторська заборгованість 2014 року)</t>
  </si>
  <si>
    <t>СШ № 20 вул. Бидгощська, б.2 (кредиторська заборгованість 2014 року)</t>
  </si>
  <si>
    <t>3131-922003,29
3210-2504205,39</t>
  </si>
  <si>
    <t>Реконструкція існуючих мереж зовнішнього освітлення по вул. Чекістів</t>
  </si>
  <si>
    <t>Реконструкція існуючих мереж зовнішнього освітлення прибудинкових територій житлових будинків № 6, 8 по вул. Добровольського</t>
  </si>
  <si>
    <t xml:space="preserve">Реконструкція мереж зовнішнього освітлення на прибудинковій території по вул. Чехова 106, 108, 110 </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</si>
  <si>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(кредиторська заборгованість 2014 року)</t>
  </si>
  <si>
    <t>Реконструкція стели на в'їзді у м. Черкаси з боку м. Київ (з ПКД)</t>
  </si>
  <si>
    <t xml:space="preserve">Дошкільні заклади освіти </t>
  </si>
  <si>
    <t>Капітальний ремонт внутрішньоквартального проїзду з вул. В. Чорновола до буд. вул. Гвардійської, 31/1 (орієнтовно 2880 м. кв.) з установкою бордюрного каменя м. Черкаси (з ПКД) (кредиторська заборгованість 2014 року)</t>
  </si>
  <si>
    <t>Реконструкція тротуару непарної сторони вул. Громова від вул. Коцюбинського до вул. Чіковані під алею, м. Черкаси</t>
  </si>
  <si>
    <t>Субвенція обласному бюджету на об'єкт «Встановлення трьох флагштоків на прилеглій території до Будинку Рад по бульв. Шевченка, 185 у м. Черкасах» (кредиторська заборговансть 2014 року)</t>
  </si>
  <si>
    <t>100102</t>
  </si>
  <si>
    <t>100106</t>
  </si>
  <si>
    <t>Внески в статутний капітал КП "Дирекція парків", у т.ч.:</t>
  </si>
  <si>
    <t>на придбання трактора</t>
  </si>
  <si>
    <t>на реконструкцію адміністративної будівлі в Дитячому парку (з ПКД)</t>
  </si>
  <si>
    <t xml:space="preserve">на придбання трактора з відвалом, причепом та подрібнювачем відходів деревини </t>
  </si>
  <si>
    <t xml:space="preserve">Внески в статутний капітал КП "Центральний стадіон", у т.ч.: </t>
  </si>
  <si>
    <t xml:space="preserve">Придбання сенсорних моноблоків, мережеві веб-камери для забезпечення прозорості програми соціальної підтримки громадян за принципом "єдиного вікна" в управлінні соціального захисту населення  Соснівського району </t>
  </si>
  <si>
    <t>Придбання стелажів для облаштування архіву для управління соціального захисту населення Соснівського району</t>
  </si>
  <si>
    <t>Придбання та встановлення кондиціонерів для департаменту соціальної політики</t>
  </si>
  <si>
    <t xml:space="preserve"> ЗОШ І-ІІІ ступенів №10(з ПКД) (кредиторська заборгованість 2014 року)</t>
  </si>
  <si>
    <t xml:space="preserve"> ЗОШ І-ІІІ ступенів № 8(з ПКД) (кредиторська заборгованість 2014 року)</t>
  </si>
  <si>
    <t xml:space="preserve"> гімназії №31 (кредиторська заборгованість 2014 року)</t>
  </si>
  <si>
    <t>Капітальний ремонт житлових будинків (системи гарячого водопостачання з заміною водопідігрівачів та окремих ділянок трубопроводу) (з ПКД) (кредиторська заборгованість 2014 року)</t>
  </si>
  <si>
    <t>Капітальний ремонт об'єкту благоустрою території на розі вул. Смілянська та вул. Ільїна перед входом на Центральний стадіон в м. Черкаси (кредиторська заборгованість 2014 року)</t>
  </si>
  <si>
    <t>Капітальний ремонт квиткових кас з вхідною групою КП “Центральний стадіон” по вул.Смілянська, 78, м.Черкаси (з ПКД) (кредиторська заборгованість 2014 року)</t>
  </si>
  <si>
    <t>Реконструкція системи вентиляції танцювального залу Черкаського міського Будинку культури ім. Івана Кулика (з ПКД) (кредиторська заборгованість 2014 року)</t>
  </si>
  <si>
    <t xml:space="preserve">Капітальний ремонт покрівлі Загальноосвітньої школи І-ІІІ ступенів № 5 </t>
  </si>
  <si>
    <t>Капітальний ремонт внутрішніх мереж опалення (заміна бойлера) ЗОШ І-ІІІ ступенів №12 (з ПКД)</t>
  </si>
  <si>
    <t>Капітальний ремонт приміщень (укріплення фундаменту) Черкаського клубу юних моряків з флотилією  за адресою бул.Шевченка, 298 (з ПКД)</t>
  </si>
  <si>
    <t>Капітальний ремонт покрівлі спеціалізованої школи № 17 та часткова заміна вікон (кредиторська заборгованість 2014 року)</t>
  </si>
  <si>
    <t>Капітальний ремонт ЗОШ І-ІІІ ступенів № 8 Черкаської міської ради (покрівля) (з ПКД) (кредиторська заборгованість 2014 року)</t>
  </si>
  <si>
    <t>Капітальний ремонт ЗОШ І-ІІІ ступенів № 30 Черкаської міської ради (покрівля) (з ПКД) (кредиторська заборгованість 2014 року)</t>
  </si>
  <si>
    <t>Капітальний ремонт приміщення ЗОШ І-ІІІ ступенів № 7 ЧМР (ліквідація аварійного стану будівлі) (обстеження та виготовлення ПКД)</t>
  </si>
  <si>
    <t>Капітальний ремонт  ЗОШ І-ІІІ ступенів № 10 Черкаської міської ради (обстеження та виготовлення ПКД)</t>
  </si>
  <si>
    <t>Капітальний ремонт житлового будинку по вул Гагаріна, 45 (ОСББ "Гагаріна-45") в м.Черкаси (посилення несучих конструкцій 1-го під'їзду)</t>
  </si>
  <si>
    <t>Капітальний ремонт об'єкту благоустрою території на розі вул. Смілянська та вул. Ільїна перед входом на Центральний стадіон</t>
  </si>
  <si>
    <t>Програма розвитку дизайну міського середовища та зовнішньої реклами в м. Черкаси на 2013-2015 роки, у т.ч.:</t>
  </si>
  <si>
    <t>Назва об’єктів відповідно  до проектно- кошторисної документації тощо</t>
  </si>
  <si>
    <t>110502</t>
  </si>
  <si>
    <t>180409</t>
  </si>
  <si>
    <t>250404</t>
  </si>
  <si>
    <t>070101</t>
  </si>
  <si>
    <t>070201</t>
  </si>
  <si>
    <t>150110</t>
  </si>
  <si>
    <t>150112</t>
  </si>
  <si>
    <t>080101</t>
  </si>
  <si>
    <t>080203</t>
  </si>
  <si>
    <t>080300</t>
  </si>
  <si>
    <t>080500</t>
  </si>
  <si>
    <t xml:space="preserve">Інші видатки </t>
  </si>
  <si>
    <t>Капітальний ремонт мережі зливової каналізації по вул.Гоголя від вул.Пушкіна до вул.Котовського в м.Черкаси</t>
  </si>
  <si>
    <t>Капітальний ремонт вулично-дорожньої мережі (влаштування пандусів)</t>
  </si>
  <si>
    <t>Реконструкція східців по cпуску між будинками №19-№21 по вул. Героїв Сталінграду (з ПКД) (кредиторська заборгованість 2014 року)</t>
  </si>
  <si>
    <t>Реконструкція вул. Менделєєва від вул. Дахнівська до вул. Санаторної (з ПКД) (кредиторська заборгованість 2014 року)</t>
  </si>
  <si>
    <t>Капітальний ремонт вул.Університетської від вул.Хрещатик до вул.Кавказької (кредиторська заборгованість 2014 року)</t>
  </si>
  <si>
    <t>Капітальний ремонт вул.Вербовецького від вул. Толстого до вул.Портової (кредиторська заборгованість 2014 року)</t>
  </si>
  <si>
    <t>Будівництво комплексу вольєрів та приміщень для леопардів та рисей Черкаського міського зоологічного парку</t>
  </si>
  <si>
    <t xml:space="preserve">Капітальний ремонт будівлі (заміна вікон)  ДНЗ №25“Пізнайко” (з ПКД) </t>
  </si>
  <si>
    <t xml:space="preserve">Капітальний ремонт приміщень (покрівля) ДНЗ №46 “Малятко” (з ПКД) </t>
  </si>
  <si>
    <t xml:space="preserve">Капітальний ремонт приміщень (заміна вікон) ДНЗ №78 “Джерельце” </t>
  </si>
  <si>
    <t>Капітальний ремонт Дошкільного навчального закладу (ясла-садок) комбінованого типу № 81 "Незабудка", м. Черкаси, вул. Благовісна, 272 (кредиторська заборгованість 2014 року)</t>
  </si>
  <si>
    <t>Придбання страйкобольних приводів для Черкаського  клубу юних моряків з флотилією Черкаської міської ради</t>
  </si>
  <si>
    <t>Капітальний ремонт приміщення міського шахового клубу за адресою вул. Благовісна, 170  (з ПКД)</t>
  </si>
  <si>
    <t>Капітальний ремонт покрівлі філії Черкаської дитячої художньої школи ім. Д. Нарбута за адресою м. Черкаси, Сумгаїтська 38 (з ПКД)</t>
  </si>
  <si>
    <t>Капітальний ремонт внутрішніх мереж опалення (встановлення лічильника тепла) Дитячої школи мистецтв (з ПКД)</t>
  </si>
  <si>
    <t>Капітальний ремонт покрівлі Дитячої школи мистецтв 2-го корпусу по пров. Гастелло,3 (з ПКД)</t>
  </si>
  <si>
    <t>Капітальний ремонт приміщень (заміна вікон) ДНЗ №76 “Золотий півник” (з ПКД)</t>
  </si>
  <si>
    <t>Капітальний ремонт приміщень (заміна вікон) ДНЗ № 60 "Ялинка-веселинка"(з ПКД)</t>
  </si>
  <si>
    <t>Реконструкція ЗОШ І-ІІІ ступенів № 21 (підвищення енергоефективності закладів освіти в рамках спільного проекту з НЕФКО)</t>
  </si>
  <si>
    <t>Реконструкція гімназії № 9 ім. Луценка (підвищення енергоефективності закладів освіти в рамках спільного проекту з НЕФКО)</t>
  </si>
  <si>
    <t>Реконструкція ЗОШ І-ІІІ ступенів № 26 (підвищення енергоефективності закладів освіти в рамках спільного проекту з НЕФКО)</t>
  </si>
  <si>
    <t>Капітальний ремонт замощення алеї від вхідної групи до адміністративної будівлі КП “Центральний стадіон” по вул.Смілянська, 78 м.Черкаси (з ПКД)</t>
  </si>
  <si>
    <t>Капітальний ремонт покрівлі гімназії №9</t>
  </si>
  <si>
    <t>Капітальний ремонт приміщень (покрівля) Черкаської загальноосвітньої школи І-ІІІ № 12 (з ПКД)</t>
  </si>
  <si>
    <t>Капітальний ремонт покрівлі СШ №17 (з ПКД)</t>
  </si>
  <si>
    <t>ДНЗ № 38 вул. Благовісна, 215 (кредиторська заборгованість 2014 року)</t>
  </si>
  <si>
    <t>ДНЗ № 39 вул. Калініна, 56 (кредиторська заборгованість 2014 року)</t>
  </si>
  <si>
    <t>ДНЗ № 54 вул. Пушкіна, 153/1 (кредиторська заборгованість 2014 року)</t>
  </si>
  <si>
    <t>ДНЗ № 57 вул. Толстого, 73/1 (кредиторська заборгованість 2014 року)</t>
  </si>
  <si>
    <t>Капітальний ремонт тротуару парної сторони вул. Горького від вул. Орджонікідзе до бул. Шевченка, м. Черкаси</t>
  </si>
  <si>
    <t>Субвенція обласному бюджету на об'єкт «Житловий будинок для сімей з дітьми-інвалідами по вул.Конєва, 15/1, у м.Черкасах – ІІ черга (вбудовано-прибудовані приміщення); влаштування житлових приміщень-реконструкція» (кредиторська заборговансть 2014 року)</t>
  </si>
  <si>
    <t>Капітальний ремонт внутрішньоквартального проїзду з вул.Ватутіна до буд.239 в м.Черкаси (з ПКД)</t>
  </si>
  <si>
    <t>Капітальний ремонт приміщень (заміна вікон) ДМШ № 3 (з ПКД)</t>
  </si>
  <si>
    <t>Капітальний ремонт мощення та гідроізоляції стрілецького тиру Черкаської КДЮСШ №2 (з ПКД)</t>
  </si>
  <si>
    <t>Капітальний ремонт приміщень Черкаської міської дитячої лікарні за здресою: м. Черкаси, вул. Конєва 4 (заміна вікон дитячої поліклініки №3) (з розробкою ПКД) (за рахунок субвенції з обласного бюджету)</t>
  </si>
  <si>
    <t xml:space="preserve">Капітальний ремонт приміщень (покрівля) Черкаської СШ Ι-ΙΙΙ ступенів №13  (з ПКД) </t>
  </si>
  <si>
    <t xml:space="preserve">Капітальний ремонт приміщень (покрівля) колегіум “Берегиня” (з ПКД) </t>
  </si>
  <si>
    <t>Капітальний ремонт приміщень (покрівля) філії бібліотеки №4 за адресою вул. Гоголя, 555  (з ПКД)</t>
  </si>
  <si>
    <t>Капітальний ремонт приміщень (заміна вікон) шаховий клуб (з ПКД)</t>
  </si>
  <si>
    <t>Капітальний ремонт будівлі ЗОШ №7 (зовнішня теплова мережа) (з ПКД)</t>
  </si>
  <si>
    <t>Капітальний ремонт будівлі (покрівля) ЦДЮТ</t>
  </si>
  <si>
    <t xml:space="preserve">Реконструкція системи опалення, монтаж вузла обліку тепла  ДНЗ №72 “Струмок” в м. Черкаси (з ПКД) </t>
  </si>
  <si>
    <t xml:space="preserve">Капітальний ремонт приміщень (центральний вхід) ЗОШ №7 (з ПКД) </t>
  </si>
  <si>
    <t xml:space="preserve">Капітальний ремонт приміщень (центральний вхід) ЗОШ №22 (з ПКД) </t>
  </si>
  <si>
    <t>ЗОШ № 22 вул. Вербовецького, 108 (кредиторська заборгованість 2014 року)</t>
  </si>
  <si>
    <t>СШ № 28 вул. Гайдара, 3 (кредиторська заборгованість 2014 року)</t>
  </si>
  <si>
    <t>Капітальний ремонт покрівлі СШ І-ІІІ ступенів № 18 Черкаської міської ради (кредиторська заборгованість 2014 року)</t>
  </si>
  <si>
    <t>Капітальний ремонт покрівель, у т.ч.:</t>
  </si>
  <si>
    <t>СШ І-ІІІ ступенів  № 27 (кредиторська заборгованість 2014 року)</t>
  </si>
  <si>
    <t>СШ І-ІІІ ступенів  № 33 (кредиторська заборгованість 2014 року)</t>
  </si>
  <si>
    <t>Капітальний ремонт фасаду, заміна вікон та дворової вхідної групи будівлі у.т.ч:</t>
  </si>
  <si>
    <t>ЗОШ Ι-ΙΙΙ № 15(з  ПКД) (кредиторська заборгованість 2014 року)</t>
  </si>
  <si>
    <t>СШ I-III ступенів №20 (кредиторська заборгованість 2014 року)</t>
  </si>
  <si>
    <t>ЗОШ Ι-ΙΙΙ № 30 (кредиторська заборгованість 2014 року)</t>
  </si>
  <si>
    <t>колегіум "Берегиня" (з  ПКД) (кредиторська заборгованість 2014 року)</t>
  </si>
  <si>
    <t>Капітальний ремонт фасаду  з установкою пандусу  ЗОШ І-ІІІ ступенів №6 (з  ПКД) (кредиторська заборгованість 2014 року)</t>
  </si>
  <si>
    <t>Капітальний ремонт санвузлів у.т.ч:</t>
  </si>
  <si>
    <t>ЗОШ І-ІІІ ступенів № 10 (з ПКД) (кредиторська заборгованість 2014 року)</t>
  </si>
  <si>
    <t>СШ І-ІІІ ступенів №33 (з ПКД) (кредиторська заборгованість 2014 року)</t>
  </si>
  <si>
    <t>Капітальний ремонт спортивної зали у.т.ч:</t>
  </si>
  <si>
    <t>Реконструкція освітлення пішохідної доріжки вздовж будинку № 116/1 по вул. Чорновола від вул. Чорновола до ДНЗ № 37  м. Черкаси (з ПКД) (кредиторська заборгованість 2014 року)</t>
  </si>
  <si>
    <t xml:space="preserve"> ЗОШ І-ІІІ ступенів № 2(з ПКД) (кредиторська заборгованість 2014 року)</t>
  </si>
</sst>
</file>

<file path=xl/styles.xml><?xml version="1.0" encoding="utf-8"?>
<styleSheet xmlns="http://schemas.openxmlformats.org/spreadsheetml/2006/main">
  <numFmts count="3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
    <numFmt numFmtId="186" formatCode="0.000"/>
    <numFmt numFmtId="187" formatCode="#,##0.00000"/>
    <numFmt numFmtId="188" formatCode="0.0"/>
    <numFmt numFmtId="189" formatCode="#,##0.000"/>
    <numFmt numFmtId="190" formatCode="#,##0.00_р_."/>
  </numFmts>
  <fonts count="37">
    <font>
      <sz val="10"/>
      <name val="Times New Roman"/>
      <family val="0"/>
    </font>
    <font>
      <sz val="11"/>
      <color indexed="8"/>
      <name val="Calibri"/>
      <family val="2"/>
    </font>
    <font>
      <b/>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sz val="11"/>
      <name val="Times New Roman"/>
      <family val="1"/>
    </font>
    <font>
      <sz val="10"/>
      <color indexed="8"/>
      <name val="Arial"/>
      <family val="2"/>
    </font>
    <font>
      <b/>
      <sz val="12"/>
      <color indexed="8"/>
      <name val="Times New Roman"/>
      <family val="1"/>
    </font>
    <font>
      <sz val="12"/>
      <color indexed="8"/>
      <name val="Times New Roman"/>
      <family val="1"/>
    </font>
    <font>
      <i/>
      <sz val="12"/>
      <name val="Times New Roman"/>
      <family val="1"/>
    </font>
    <font>
      <b/>
      <sz val="14"/>
      <name val="Arial"/>
      <family val="2"/>
    </font>
    <font>
      <b/>
      <sz val="16"/>
      <name val="Times New Roman"/>
      <family val="1"/>
    </font>
    <font>
      <b/>
      <sz val="10"/>
      <name val="Arial"/>
      <family val="2"/>
    </font>
    <font>
      <b/>
      <u val="single"/>
      <sz val="14"/>
      <name val="Times New Roman"/>
      <family val="1"/>
    </font>
    <font>
      <b/>
      <u val="single"/>
      <sz val="10"/>
      <name val="Times New Roman"/>
      <family val="1"/>
    </font>
    <font>
      <b/>
      <sz val="11"/>
      <name val="Times New Roman"/>
      <family val="1"/>
    </font>
    <font>
      <b/>
      <sz val="9"/>
      <name val="Times New Roman"/>
      <family val="1"/>
    </font>
    <font>
      <sz val="11"/>
      <color indexed="62"/>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sz val="11"/>
      <color indexed="10"/>
      <name val="Calibri"/>
      <family val="2"/>
    </font>
    <font>
      <sz val="11"/>
      <color indexed="17"/>
      <name val="Calibri"/>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13"/>
        <bgColor indexed="64"/>
      </patternFill>
    </fill>
    <fill>
      <patternFill patternType="solid">
        <fgColor indexed="15"/>
        <bgColor indexed="64"/>
      </patternFill>
    </fill>
    <fill>
      <patternFill patternType="solid">
        <fgColor indexed="14"/>
        <bgColor indexed="64"/>
      </patternFill>
    </fill>
    <fill>
      <patternFill patternType="solid">
        <fgColor indexed="50"/>
        <bgColor indexed="64"/>
      </patternFill>
    </fill>
    <fill>
      <patternFill patternType="solid">
        <fgColor indexed="41"/>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color indexed="63"/>
      </left>
      <right style="thin"/>
      <top style="thin"/>
      <bottom style="thin"/>
    </border>
    <border>
      <left style="thin"/>
      <right style="thin"/>
      <top style="thin"/>
      <bottom/>
    </border>
    <border>
      <left style="thin"/>
      <right style="thin"/>
      <top/>
      <bottom style="thin"/>
    </border>
    <border>
      <left/>
      <right style="thin"/>
      <top/>
      <bottom style="thin"/>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right style="thin"/>
      <top style="thin"/>
      <bottom/>
    </border>
    <border>
      <left style="thin"/>
      <right>
        <color indexed="63"/>
      </right>
      <top style="thin"/>
      <bottom style="thin"/>
    </border>
    <border>
      <left style="thin"/>
      <right>
        <color indexed="63"/>
      </right>
      <top/>
      <bottom style="thin"/>
    </border>
    <border>
      <left style="thin">
        <color indexed="8"/>
      </left>
      <right>
        <color indexed="63"/>
      </right>
      <top style="thin">
        <color indexed="8"/>
      </top>
      <bottom style="thin">
        <color indexed="8"/>
      </bottom>
    </border>
    <border>
      <left style="thin"/>
      <right>
        <color indexed="63"/>
      </right>
      <top style="thin"/>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thin"/>
      <top style="thin"/>
      <bottom>
        <color indexed="63"/>
      </bottom>
    </border>
    <border>
      <left>
        <color indexed="63"/>
      </left>
      <right>
        <color indexed="63"/>
      </right>
      <top style="thin"/>
      <bottom style="thin"/>
    </border>
    <border>
      <left style="thin"/>
      <right style="thin"/>
      <top>
        <color indexed="63"/>
      </top>
      <bottom>
        <color indexed="63"/>
      </bottom>
    </border>
  </borders>
  <cellStyleXfs count="9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13" fillId="0" borderId="0">
      <alignment/>
      <protection/>
    </xf>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29" fillId="20" borderId="1" applyNumberFormat="0" applyAlignment="0" applyProtection="0"/>
    <xf numFmtId="0" fontId="5" fillId="21" borderId="2" applyNumberFormat="0" applyAlignment="0" applyProtection="0"/>
    <xf numFmtId="0" fontId="9"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3" fillId="0" borderId="0">
      <alignment/>
      <protection/>
    </xf>
    <xf numFmtId="0" fontId="15" fillId="0" borderId="0">
      <alignment/>
      <protection/>
    </xf>
    <xf numFmtId="0" fontId="13" fillId="0" borderId="0">
      <alignment/>
      <protection/>
    </xf>
    <xf numFmtId="0" fontId="13"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8" fillId="0" borderId="0">
      <alignment vertical="top"/>
      <protection/>
    </xf>
    <xf numFmtId="0" fontId="7" fillId="0" borderId="6" applyNumberFormat="0" applyFill="0" applyAlignment="0" applyProtection="0"/>
    <xf numFmtId="0" fontId="33" fillId="22" borderId="7" applyNumberFormat="0" applyAlignment="0" applyProtection="0"/>
    <xf numFmtId="0" fontId="34" fillId="0" borderId="0" applyNumberFormat="0" applyFill="0" applyBorder="0" applyAlignment="0" applyProtection="0"/>
    <xf numFmtId="0" fontId="10" fillId="20" borderId="0" applyNumberFormat="0" applyBorder="0" applyAlignment="0" applyProtection="0"/>
    <xf numFmtId="0" fontId="13" fillId="0" borderId="0">
      <alignment/>
      <protection/>
    </xf>
    <xf numFmtId="0" fontId="14" fillId="0" borderId="0">
      <alignment/>
      <protection/>
    </xf>
    <xf numFmtId="0" fontId="1" fillId="0" borderId="0">
      <alignment/>
      <protection/>
    </xf>
    <xf numFmtId="0" fontId="13" fillId="0" borderId="0">
      <alignment/>
      <protection/>
    </xf>
    <xf numFmtId="0" fontId="14" fillId="0" borderId="0">
      <alignment/>
      <protection/>
    </xf>
    <xf numFmtId="0" fontId="13" fillId="0" borderId="0">
      <alignment/>
      <protection/>
    </xf>
    <xf numFmtId="0" fontId="13" fillId="0" borderId="0">
      <alignment/>
      <protection/>
    </xf>
    <xf numFmtId="0" fontId="14" fillId="0" borderId="0">
      <alignment/>
      <protection/>
    </xf>
    <xf numFmtId="0" fontId="13" fillId="0" borderId="0">
      <alignment/>
      <protection/>
    </xf>
    <xf numFmtId="0" fontId="1" fillId="0" borderId="0">
      <alignment/>
      <protection/>
    </xf>
    <xf numFmtId="0" fontId="13" fillId="0" borderId="0">
      <alignment/>
      <protection/>
    </xf>
    <xf numFmtId="0" fontId="13" fillId="0" borderId="0">
      <alignment/>
      <protection/>
    </xf>
    <xf numFmtId="0" fontId="13" fillId="0" borderId="0">
      <alignment/>
      <protection/>
    </xf>
    <xf numFmtId="0" fontId="4" fillId="3" borderId="0" applyNumberFormat="0" applyBorder="0" applyAlignment="0" applyProtection="0"/>
    <xf numFmtId="0" fontId="6"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35" fillId="0" borderId="9" applyNumberFormat="0" applyFill="0" applyAlignment="0" applyProtection="0"/>
    <xf numFmtId="0" fontId="12" fillId="0" borderId="0">
      <alignment/>
      <protection/>
    </xf>
    <xf numFmtId="0" fontId="3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1" fontId="13" fillId="0" borderId="0" applyFont="0" applyFill="0" applyBorder="0" applyAlignment="0" applyProtection="0"/>
    <xf numFmtId="0" fontId="36" fillId="6" borderId="0" applyNumberFormat="0" applyBorder="0" applyAlignment="0" applyProtection="0"/>
  </cellStyleXfs>
  <cellXfs count="365">
    <xf numFmtId="0" fontId="0" fillId="0" borderId="0" xfId="0" applyAlignment="1">
      <alignment/>
    </xf>
    <xf numFmtId="0" fontId="0" fillId="0" borderId="0" xfId="0" applyNumberFormat="1" applyFont="1" applyFill="1" applyAlignment="1" applyProtection="1">
      <alignment/>
      <protection/>
    </xf>
    <xf numFmtId="0" fontId="0" fillId="0" borderId="0" xfId="0" applyNumberFormat="1" applyFont="1" applyFill="1" applyAlignment="1" applyProtection="1">
      <alignment wrapText="1"/>
      <protection/>
    </xf>
    <xf numFmtId="0" fontId="0" fillId="0" borderId="0" xfId="0" applyFont="1" applyFill="1" applyAlignment="1">
      <alignment/>
    </xf>
    <xf numFmtId="0" fontId="2" fillId="0" borderId="0" xfId="0" applyNumberFormat="1" applyFont="1" applyFill="1" applyAlignment="1" applyProtection="1">
      <alignment/>
      <protection/>
    </xf>
    <xf numFmtId="49" fontId="2" fillId="0" borderId="0" xfId="0" applyNumberFormat="1" applyFont="1" applyFill="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4" fontId="16" fillId="0" borderId="10" xfId="80" applyNumberFormat="1" applyFont="1" applyFill="1" applyBorder="1" applyAlignment="1">
      <alignment horizontal="center" vertical="center"/>
      <protection/>
    </xf>
    <xf numFmtId="0" fontId="16" fillId="0" borderId="10" xfId="0" applyFont="1" applyFill="1" applyBorder="1" applyAlignment="1">
      <alignment horizontal="left" vertical="top" wrapText="1"/>
    </xf>
    <xf numFmtId="0" fontId="21" fillId="0" borderId="10" xfId="0" applyFont="1" applyFill="1" applyBorder="1" applyAlignment="1">
      <alignment horizontal="left" vertical="top" wrapText="1" indent="1"/>
    </xf>
    <xf numFmtId="0" fontId="16" fillId="0" borderId="10" xfId="0" applyFont="1" applyFill="1" applyBorder="1" applyAlignment="1">
      <alignment vertical="top" wrapText="1"/>
    </xf>
    <xf numFmtId="4" fontId="16" fillId="0" borderId="10" xfId="83" applyNumberFormat="1" applyFont="1" applyFill="1" applyBorder="1" applyAlignment="1">
      <alignment horizontal="center" vertical="center" wrapText="1"/>
      <protection/>
    </xf>
    <xf numFmtId="4" fontId="16" fillId="0" borderId="10" xfId="79" applyNumberFormat="1" applyFont="1" applyFill="1" applyBorder="1" applyAlignment="1">
      <alignment horizontal="center" vertical="center" wrapText="1"/>
      <protection/>
    </xf>
    <xf numFmtId="4" fontId="16" fillId="0" borderId="10" xfId="78" applyNumberFormat="1" applyFont="1" applyFill="1" applyBorder="1" applyAlignment="1">
      <alignment horizontal="center" vertical="center" wrapText="1"/>
      <protection/>
    </xf>
    <xf numFmtId="4" fontId="16" fillId="0" borderId="10" xfId="82" applyNumberFormat="1" applyFont="1" applyFill="1" applyBorder="1" applyAlignment="1">
      <alignment horizontal="center" vertical="center" wrapText="1"/>
      <protection/>
    </xf>
    <xf numFmtId="4" fontId="16" fillId="0" borderId="10" xfId="82" applyNumberFormat="1" applyFont="1" applyFill="1" applyBorder="1" applyAlignment="1">
      <alignment horizontal="center" vertical="center"/>
      <protection/>
    </xf>
    <xf numFmtId="185" fontId="16" fillId="0" borderId="10" xfId="79" applyNumberFormat="1" applyFont="1" applyFill="1" applyBorder="1" applyAlignment="1">
      <alignment horizontal="center" vertical="center" wrapText="1"/>
      <protection/>
    </xf>
    <xf numFmtId="0" fontId="16" fillId="0" borderId="10" xfId="79" applyFont="1" applyFill="1" applyBorder="1" applyAlignment="1">
      <alignment vertical="top" wrapText="1"/>
      <protection/>
    </xf>
    <xf numFmtId="49" fontId="16" fillId="0" borderId="10" xfId="0" applyNumberFormat="1" applyFont="1" applyFill="1" applyBorder="1" applyAlignment="1">
      <alignment horizontal="left" wrapText="1"/>
    </xf>
    <xf numFmtId="4" fontId="16" fillId="0" borderId="10" xfId="0" applyNumberFormat="1" applyFont="1" applyFill="1" applyBorder="1" applyAlignment="1">
      <alignment horizontal="center" vertical="center" wrapText="1"/>
    </xf>
    <xf numFmtId="0" fontId="16" fillId="0" borderId="10" xfId="0" applyNumberFormat="1" applyFont="1" applyFill="1" applyBorder="1" applyAlignment="1">
      <alignment horizontal="left" vertical="top" wrapText="1" indent="1"/>
    </xf>
    <xf numFmtId="0" fontId="21" fillId="0" borderId="10" xfId="0" applyNumberFormat="1" applyFont="1" applyFill="1" applyBorder="1" applyAlignment="1">
      <alignment horizontal="left" vertical="top" wrapText="1" indent="1"/>
    </xf>
    <xf numFmtId="0" fontId="16" fillId="0" borderId="10" xfId="75" applyFont="1" applyFill="1" applyBorder="1" applyAlignment="1">
      <alignment horizontal="left" vertical="top" wrapText="1"/>
      <protection/>
    </xf>
    <xf numFmtId="0" fontId="16" fillId="0" borderId="10" xfId="75" applyFont="1" applyFill="1" applyBorder="1" applyAlignment="1">
      <alignment horizontal="left" vertical="top" wrapText="1" indent="2"/>
      <protection/>
    </xf>
    <xf numFmtId="4" fontId="11" fillId="0" borderId="10" xfId="80" applyNumberFormat="1" applyFont="1" applyFill="1" applyBorder="1" applyAlignment="1">
      <alignment horizontal="center" vertical="center"/>
      <protection/>
    </xf>
    <xf numFmtId="0" fontId="16" fillId="0" borderId="10" xfId="81" applyFont="1" applyFill="1" applyBorder="1" applyAlignment="1">
      <alignment horizontal="left" vertical="top" wrapText="1"/>
      <protection/>
    </xf>
    <xf numFmtId="0" fontId="16" fillId="0" borderId="10" xfId="0" applyFont="1" applyFill="1" applyBorder="1" applyAlignment="1">
      <alignment wrapText="1"/>
    </xf>
    <xf numFmtId="0" fontId="16" fillId="0" borderId="10" xfId="78" applyFont="1" applyFill="1" applyBorder="1" applyAlignment="1">
      <alignment horizontal="left" vertical="center" wrapText="1"/>
      <protection/>
    </xf>
    <xf numFmtId="4" fontId="16" fillId="0" borderId="11" xfId="79" applyNumberFormat="1" applyFont="1" applyFill="1" applyBorder="1" applyAlignment="1">
      <alignment horizontal="center" vertical="center" wrapText="1"/>
      <protection/>
    </xf>
    <xf numFmtId="0" fontId="16" fillId="0" borderId="10" xfId="0" applyFont="1" applyFill="1" applyBorder="1" applyAlignment="1">
      <alignment horizontal="left" vertical="center" wrapText="1"/>
    </xf>
    <xf numFmtId="4" fontId="16" fillId="0" borderId="10" xfId="79" applyNumberFormat="1" applyFont="1" applyFill="1" applyBorder="1" applyAlignment="1">
      <alignment horizontal="center" vertical="center"/>
      <protection/>
    </xf>
    <xf numFmtId="0" fontId="16" fillId="0" borderId="10" xfId="73" applyFont="1" applyFill="1" applyBorder="1" applyAlignment="1">
      <alignment vertical="top" wrapText="1"/>
      <protection/>
    </xf>
    <xf numFmtId="0" fontId="20" fillId="0" borderId="10" xfId="0" applyFont="1" applyFill="1" applyBorder="1" applyAlignment="1">
      <alignment vertical="top" wrapText="1"/>
    </xf>
    <xf numFmtId="4" fontId="16" fillId="0" borderId="0" xfId="80" applyNumberFormat="1" applyFont="1" applyFill="1" applyAlignment="1">
      <alignment horizontal="center" vertical="center"/>
      <protection/>
    </xf>
    <xf numFmtId="0" fontId="11" fillId="0" borderId="10" xfId="79" applyFont="1" applyFill="1" applyBorder="1" applyAlignment="1">
      <alignment vertical="top" wrapText="1"/>
      <protection/>
    </xf>
    <xf numFmtId="4" fontId="11" fillId="0" borderId="10" xfId="79" applyNumberFormat="1" applyFont="1" applyFill="1" applyBorder="1" applyAlignment="1">
      <alignment horizontal="center" vertical="center" wrapText="1"/>
      <protection/>
    </xf>
    <xf numFmtId="4" fontId="11" fillId="0" borderId="10" xfId="79" applyNumberFormat="1" applyFont="1" applyFill="1" applyBorder="1" applyAlignment="1">
      <alignment horizontal="center" vertical="center"/>
      <protection/>
    </xf>
    <xf numFmtId="0" fontId="11" fillId="0" borderId="10" xfId="0" applyFont="1" applyFill="1" applyBorder="1" applyAlignment="1">
      <alignment wrapText="1"/>
    </xf>
    <xf numFmtId="4" fontId="11" fillId="0" borderId="10" xfId="0" applyNumberFormat="1" applyFont="1" applyFill="1" applyBorder="1" applyAlignment="1">
      <alignment horizontal="center" vertical="center"/>
    </xf>
    <xf numFmtId="0" fontId="21" fillId="0" borderId="10" xfId="0" applyFont="1" applyFill="1" applyBorder="1" applyAlignment="1">
      <alignment horizontal="left" wrapText="1" indent="1"/>
    </xf>
    <xf numFmtId="0" fontId="11" fillId="0" borderId="10" xfId="79" applyFont="1" applyFill="1" applyBorder="1" applyAlignment="1">
      <alignment horizontal="left" vertical="top" wrapText="1"/>
      <protection/>
    </xf>
    <xf numFmtId="4" fontId="19" fillId="21" borderId="10" xfId="0" applyNumberFormat="1" applyFont="1" applyFill="1" applyBorder="1" applyAlignment="1">
      <alignment horizontal="center" vertical="center"/>
    </xf>
    <xf numFmtId="4" fontId="0" fillId="0" borderId="0" xfId="0" applyNumberFormat="1" applyFont="1" applyFill="1" applyAlignment="1" applyProtection="1">
      <alignment horizontal="center"/>
      <protection/>
    </xf>
    <xf numFmtId="4" fontId="16" fillId="0" borderId="10" xfId="0" applyNumberFormat="1" applyFont="1" applyFill="1" applyBorder="1" applyAlignment="1" applyProtection="1">
      <alignment horizontal="center" vertical="center"/>
      <protection/>
    </xf>
    <xf numFmtId="185" fontId="16" fillId="0" borderId="10" xfId="0" applyNumberFormat="1" applyFont="1" applyFill="1" applyBorder="1" applyAlignment="1" applyProtection="1">
      <alignment horizontal="center" vertical="center"/>
      <protection/>
    </xf>
    <xf numFmtId="0" fontId="16" fillId="0" borderId="10" xfId="82" applyFont="1" applyFill="1" applyBorder="1" applyAlignment="1">
      <alignment horizontal="left" vertical="center" wrapText="1"/>
      <protection/>
    </xf>
    <xf numFmtId="0" fontId="16" fillId="0" borderId="11" xfId="82" applyFont="1" applyFill="1" applyBorder="1" applyAlignment="1">
      <alignment horizontal="left" vertical="center" wrapText="1"/>
      <protection/>
    </xf>
    <xf numFmtId="4" fontId="16" fillId="0" borderId="10" xfId="0" applyNumberFormat="1" applyFont="1" applyFill="1" applyBorder="1" applyAlignment="1">
      <alignment horizontal="center" vertical="center"/>
    </xf>
    <xf numFmtId="180" fontId="16" fillId="0" borderId="10" xfId="0" applyNumberFormat="1" applyFont="1" applyFill="1" applyBorder="1" applyAlignment="1">
      <alignment horizontal="center" vertical="center"/>
    </xf>
    <xf numFmtId="0" fontId="16" fillId="0" borderId="10" xfId="79" applyFont="1" applyFill="1" applyBorder="1" applyAlignment="1">
      <alignment horizontal="left" vertical="top" wrapText="1"/>
      <protection/>
    </xf>
    <xf numFmtId="0" fontId="16" fillId="0" borderId="12" xfId="0" applyFont="1" applyFill="1" applyBorder="1" applyAlignment="1">
      <alignment horizontal="left" vertical="top" wrapText="1"/>
    </xf>
    <xf numFmtId="0" fontId="16" fillId="0" borderId="13" xfId="0" applyFont="1" applyFill="1" applyBorder="1" applyAlignment="1">
      <alignment horizontal="left" vertical="top" wrapText="1"/>
    </xf>
    <xf numFmtId="180" fontId="20" fillId="0" borderId="10" xfId="68" applyNumberFormat="1" applyFont="1" applyFill="1" applyBorder="1" applyAlignment="1">
      <alignment horizontal="left" vertical="center" wrapText="1"/>
      <protection/>
    </xf>
    <xf numFmtId="4" fontId="19" fillId="0" borderId="10" xfId="68" applyNumberFormat="1" applyFont="1" applyFill="1" applyBorder="1" applyAlignment="1">
      <alignment horizontal="center" vertical="center"/>
      <protection/>
    </xf>
    <xf numFmtId="180" fontId="19" fillId="0" borderId="10" xfId="68" applyNumberFormat="1" applyFont="1" applyFill="1" applyBorder="1" applyAlignment="1">
      <alignment horizontal="center" vertical="center"/>
      <protection/>
    </xf>
    <xf numFmtId="4" fontId="20" fillId="0" borderId="10" xfId="68" applyNumberFormat="1" applyFont="1" applyFill="1" applyBorder="1" applyAlignment="1">
      <alignment horizontal="center" vertical="center"/>
      <protection/>
    </xf>
    <xf numFmtId="4" fontId="19" fillId="21" borderId="10" xfId="68" applyNumberFormat="1" applyFont="1" applyFill="1" applyBorder="1" applyAlignment="1">
      <alignment horizontal="center" vertical="center"/>
      <protection/>
    </xf>
    <xf numFmtId="180" fontId="19" fillId="21" borderId="10" xfId="68" applyNumberFormat="1" applyFont="1" applyFill="1" applyBorder="1" applyAlignment="1">
      <alignment horizontal="center" vertical="center"/>
      <protection/>
    </xf>
    <xf numFmtId="4" fontId="11" fillId="21" borderId="10" xfId="0" applyNumberFormat="1" applyFont="1" applyFill="1" applyBorder="1" applyAlignment="1">
      <alignment horizontal="center" vertical="center"/>
    </xf>
    <xf numFmtId="180" fontId="20" fillId="0" borderId="10" xfId="68" applyNumberFormat="1" applyFont="1" applyFill="1" applyBorder="1" applyAlignment="1">
      <alignment horizontal="center" vertical="center"/>
      <protection/>
    </xf>
    <xf numFmtId="4" fontId="16" fillId="0" borderId="10" xfId="93" applyNumberFormat="1" applyFont="1" applyFill="1" applyBorder="1" applyAlignment="1">
      <alignment horizontal="center" vertical="center" wrapText="1"/>
    </xf>
    <xf numFmtId="180" fontId="16" fillId="0" borderId="10" xfId="0" applyNumberFormat="1" applyFont="1" applyFill="1" applyBorder="1" applyAlignment="1" applyProtection="1">
      <alignment horizontal="center" vertical="center" wrapText="1"/>
      <protection/>
    </xf>
    <xf numFmtId="0" fontId="16" fillId="0" borderId="10" xfId="83" applyFont="1" applyFill="1" applyBorder="1" applyAlignment="1">
      <alignment horizontal="left" vertical="center" wrapText="1"/>
      <protection/>
    </xf>
    <xf numFmtId="0" fontId="20" fillId="0" borderId="11" xfId="0" applyFont="1" applyFill="1" applyBorder="1" applyAlignment="1">
      <alignment horizontal="left" vertical="center" wrapText="1"/>
    </xf>
    <xf numFmtId="4" fontId="20" fillId="0" borderId="10" xfId="0" applyNumberFormat="1" applyFont="1" applyFill="1" applyBorder="1" applyAlignment="1">
      <alignment horizontal="center" vertical="center" wrapText="1"/>
    </xf>
    <xf numFmtId="0" fontId="16" fillId="0" borderId="11" xfId="0" applyFont="1" applyFill="1" applyBorder="1" applyAlignment="1">
      <alignment horizontal="left" vertical="center" wrapText="1"/>
    </xf>
    <xf numFmtId="0" fontId="16" fillId="0" borderId="11" xfId="76" applyFont="1" applyFill="1" applyBorder="1" applyAlignment="1">
      <alignment horizontal="left" vertical="center" wrapText="1"/>
      <protection/>
    </xf>
    <xf numFmtId="0" fontId="16" fillId="0" borderId="12" xfId="0" applyFont="1" applyFill="1" applyBorder="1" applyAlignment="1">
      <alignment horizontal="left" vertical="center" wrapText="1"/>
    </xf>
    <xf numFmtId="180" fontId="16" fillId="0" borderId="10" xfId="0" applyNumberFormat="1" applyFont="1" applyFill="1" applyBorder="1" applyAlignment="1" applyProtection="1">
      <alignment horizontal="left" vertical="center" wrapText="1"/>
      <protection/>
    </xf>
    <xf numFmtId="4" fontId="11" fillId="0" borderId="10" xfId="0" applyNumberFormat="1" applyFont="1" applyFill="1" applyBorder="1" applyAlignment="1" applyProtection="1">
      <alignment horizontal="center" vertical="center"/>
      <protection/>
    </xf>
    <xf numFmtId="0" fontId="16" fillId="0" borderId="10" xfId="76" applyFont="1" applyFill="1" applyBorder="1" applyAlignment="1">
      <alignment horizontal="left" vertical="center" wrapText="1"/>
      <protection/>
    </xf>
    <xf numFmtId="0" fontId="16" fillId="0" borderId="11" xfId="73" applyFont="1" applyFill="1" applyBorder="1" applyAlignment="1">
      <alignment horizontal="left" vertical="center" wrapText="1"/>
      <protection/>
    </xf>
    <xf numFmtId="0" fontId="16" fillId="0" borderId="11" xfId="78" applyFont="1" applyFill="1" applyBorder="1" applyAlignment="1">
      <alignment horizontal="left" vertical="center" wrapText="1"/>
      <protection/>
    </xf>
    <xf numFmtId="0" fontId="20" fillId="0" borderId="10" xfId="0" applyFont="1" applyFill="1" applyBorder="1" applyAlignment="1">
      <alignment horizontal="left" vertical="center" wrapText="1"/>
    </xf>
    <xf numFmtId="4" fontId="20" fillId="0" borderId="10" xfId="0" applyNumberFormat="1" applyFont="1" applyFill="1" applyBorder="1" applyAlignment="1">
      <alignment horizontal="center" vertical="center"/>
    </xf>
    <xf numFmtId="4" fontId="11" fillId="0" borderId="10" xfId="0" applyNumberFormat="1" applyFont="1" applyFill="1" applyBorder="1" applyAlignment="1">
      <alignment horizontal="center" vertical="center" wrapText="1"/>
    </xf>
    <xf numFmtId="0" fontId="11" fillId="0" borderId="10" xfId="82" applyFont="1" applyFill="1" applyBorder="1" applyAlignment="1">
      <alignment horizontal="left" vertical="center" wrapText="1"/>
      <protection/>
    </xf>
    <xf numFmtId="185" fontId="11" fillId="0" borderId="10" xfId="0" applyNumberFormat="1" applyFont="1" applyFill="1" applyBorder="1" applyAlignment="1" applyProtection="1">
      <alignment horizontal="center" vertical="center"/>
      <protection/>
    </xf>
    <xf numFmtId="49" fontId="16" fillId="0" borderId="10" xfId="0" applyNumberFormat="1" applyFont="1" applyFill="1" applyBorder="1" applyAlignment="1">
      <alignment horizontal="left" vertical="center" wrapText="1"/>
    </xf>
    <xf numFmtId="0" fontId="16" fillId="0" borderId="14" xfId="0" applyFont="1" applyFill="1" applyBorder="1" applyAlignment="1">
      <alignment horizontal="left" vertical="center" wrapText="1"/>
    </xf>
    <xf numFmtId="4" fontId="16" fillId="0" borderId="13" xfId="0" applyNumberFormat="1" applyFont="1" applyFill="1" applyBorder="1" applyAlignment="1">
      <alignment horizontal="center" vertical="center"/>
    </xf>
    <xf numFmtId="180" fontId="11" fillId="0" borderId="10" xfId="0" applyNumberFormat="1" applyFont="1" applyFill="1" applyBorder="1" applyAlignment="1" applyProtection="1">
      <alignment horizontal="left" vertical="center" wrapText="1"/>
      <protection/>
    </xf>
    <xf numFmtId="185" fontId="11" fillId="0" borderId="10" xfId="79" applyNumberFormat="1" applyFont="1" applyFill="1" applyBorder="1" applyAlignment="1">
      <alignment horizontal="center" vertical="center" wrapText="1"/>
      <protection/>
    </xf>
    <xf numFmtId="0" fontId="11" fillId="0" borderId="10" xfId="79" applyFont="1" applyFill="1" applyBorder="1" applyAlignment="1">
      <alignment horizontal="left" vertical="center" wrapText="1"/>
      <protection/>
    </xf>
    <xf numFmtId="185" fontId="16" fillId="0" borderId="10" xfId="0" applyNumberFormat="1" applyFont="1" applyFill="1" applyBorder="1" applyAlignment="1">
      <alignment horizontal="center" vertical="center"/>
    </xf>
    <xf numFmtId="0" fontId="16" fillId="0" borderId="10" xfId="79" applyFont="1" applyFill="1" applyBorder="1" applyAlignment="1">
      <alignment horizontal="left" vertical="center" wrapText="1"/>
      <protection/>
    </xf>
    <xf numFmtId="180" fontId="16" fillId="0" borderId="10" xfId="0" applyNumberFormat="1" applyFont="1" applyFill="1" applyBorder="1" applyAlignment="1">
      <alignment horizontal="left" vertical="top" wrapText="1"/>
    </xf>
    <xf numFmtId="0" fontId="21" fillId="0" borderId="10" xfId="75" applyFont="1" applyFill="1" applyBorder="1" applyAlignment="1">
      <alignment horizontal="left" vertical="top" wrapText="1" indent="1"/>
      <protection/>
    </xf>
    <xf numFmtId="0" fontId="21" fillId="0" borderId="12" xfId="0" applyFont="1" applyFill="1" applyBorder="1" applyAlignment="1">
      <alignment horizontal="left" vertical="top" wrapText="1"/>
    </xf>
    <xf numFmtId="0" fontId="21" fillId="0" borderId="10" xfId="74" applyFont="1" applyFill="1" applyBorder="1" applyAlignment="1">
      <alignment horizontal="left" vertical="top" wrapText="1"/>
      <protection/>
    </xf>
    <xf numFmtId="0" fontId="21" fillId="0" borderId="12" xfId="74" applyFont="1" applyFill="1" applyBorder="1" applyAlignment="1">
      <alignment horizontal="left" vertical="top" wrapText="1"/>
      <protection/>
    </xf>
    <xf numFmtId="0" fontId="16" fillId="0" borderId="12" xfId="74" applyFont="1" applyFill="1" applyBorder="1" applyAlignment="1">
      <alignment horizontal="left" vertical="top" wrapText="1"/>
      <protection/>
    </xf>
    <xf numFmtId="180" fontId="20" fillId="0" borderId="10" xfId="0" applyNumberFormat="1" applyFont="1" applyFill="1" applyBorder="1" applyAlignment="1">
      <alignment vertical="justify" wrapText="1"/>
    </xf>
    <xf numFmtId="180" fontId="20" fillId="0" borderId="10" xfId="0" applyNumberFormat="1" applyFont="1" applyFill="1" applyBorder="1" applyAlignment="1">
      <alignment horizontal="left" vertical="top" wrapText="1"/>
    </xf>
    <xf numFmtId="0" fontId="21" fillId="0" borderId="12" xfId="0" applyFont="1" applyFill="1" applyBorder="1" applyAlignment="1">
      <alignment horizontal="left" vertical="top" wrapText="1" indent="1"/>
    </xf>
    <xf numFmtId="0" fontId="21" fillId="0" borderId="10" xfId="74" applyFont="1" applyFill="1" applyBorder="1" applyAlignment="1">
      <alignment horizontal="left" vertical="top" wrapText="1" indent="1"/>
      <protection/>
    </xf>
    <xf numFmtId="0" fontId="16" fillId="0" borderId="10" xfId="74" applyFont="1" applyFill="1" applyBorder="1" applyAlignment="1">
      <alignment horizontal="left" vertical="top" wrapText="1"/>
      <protection/>
    </xf>
    <xf numFmtId="180" fontId="20" fillId="0" borderId="10" xfId="0" applyNumberFormat="1" applyFont="1" applyFill="1" applyBorder="1" applyAlignment="1">
      <alignment horizontal="center" vertical="center"/>
    </xf>
    <xf numFmtId="4" fontId="20" fillId="21" borderId="10" xfId="0" applyNumberFormat="1" applyFont="1" applyFill="1" applyBorder="1" applyAlignment="1">
      <alignment horizontal="center" vertical="center"/>
    </xf>
    <xf numFmtId="180" fontId="20" fillId="21" borderId="10" xfId="0" applyNumberFormat="1" applyFont="1" applyFill="1" applyBorder="1" applyAlignment="1">
      <alignment horizontal="center" vertical="center"/>
    </xf>
    <xf numFmtId="4" fontId="19" fillId="0" borderId="10" xfId="0" applyNumberFormat="1" applyFont="1" applyFill="1" applyBorder="1" applyAlignment="1">
      <alignment horizontal="center" vertical="center"/>
    </xf>
    <xf numFmtId="0" fontId="16" fillId="0" borderId="15" xfId="0" applyFont="1" applyFill="1" applyBorder="1" applyAlignment="1">
      <alignment vertical="top" wrapText="1"/>
    </xf>
    <xf numFmtId="0" fontId="16" fillId="0" borderId="16" xfId="0" applyFont="1" applyFill="1" applyBorder="1" applyAlignment="1">
      <alignment horizontal="center" vertical="top" wrapText="1"/>
    </xf>
    <xf numFmtId="0" fontId="16" fillId="0" borderId="12" xfId="0" applyFont="1" applyFill="1" applyBorder="1" applyAlignment="1">
      <alignment vertical="top" wrapText="1"/>
    </xf>
    <xf numFmtId="0" fontId="16" fillId="0" borderId="10" xfId="0" applyFont="1" applyFill="1" applyBorder="1" applyAlignment="1">
      <alignment horizontal="center" vertical="top" wrapText="1"/>
    </xf>
    <xf numFmtId="0" fontId="16" fillId="0" borderId="10" xfId="85" applyFont="1" applyFill="1" applyBorder="1" applyAlignment="1">
      <alignment horizontal="center" vertical="top" wrapText="1"/>
      <protection/>
    </xf>
    <xf numFmtId="0" fontId="16" fillId="0" borderId="11" xfId="0" applyFont="1" applyFill="1" applyBorder="1" applyAlignment="1">
      <alignment horizontal="left" vertical="top" wrapText="1"/>
    </xf>
    <xf numFmtId="0" fontId="16" fillId="0" borderId="10" xfId="0" applyFont="1" applyFill="1" applyBorder="1" applyAlignment="1">
      <alignment horizontal="center" vertical="center" wrapText="1"/>
    </xf>
    <xf numFmtId="49" fontId="16" fillId="0" borderId="10" xfId="75" applyNumberFormat="1" applyFont="1" applyFill="1" applyBorder="1" applyAlignment="1">
      <alignment horizontal="left" vertical="top" wrapText="1"/>
      <protection/>
    </xf>
    <xf numFmtId="0" fontId="16" fillId="0" borderId="10" xfId="85" applyFont="1" applyFill="1" applyBorder="1" applyAlignment="1">
      <alignment horizontal="center" vertical="center" wrapText="1"/>
      <protection/>
    </xf>
    <xf numFmtId="4" fontId="16" fillId="0" borderId="10" xfId="85" applyNumberFormat="1" applyFont="1" applyFill="1" applyBorder="1" applyAlignment="1">
      <alignment horizontal="center" vertical="center" wrapText="1"/>
      <protection/>
    </xf>
    <xf numFmtId="0" fontId="16" fillId="0" borderId="12" xfId="0" applyFont="1" applyFill="1" applyBorder="1" applyAlignment="1">
      <alignment horizontal="center" vertical="center" wrapText="1"/>
    </xf>
    <xf numFmtId="0" fontId="16" fillId="0" borderId="12" xfId="85" applyFont="1" applyFill="1" applyBorder="1" applyAlignment="1">
      <alignment horizontal="center" vertical="top" wrapText="1"/>
      <protection/>
    </xf>
    <xf numFmtId="0" fontId="16" fillId="0" borderId="12" xfId="85" applyFont="1" applyFill="1" applyBorder="1" applyAlignment="1">
      <alignment horizontal="center" vertical="center" wrapText="1"/>
      <protection/>
    </xf>
    <xf numFmtId="0" fontId="11" fillId="0" borderId="10" xfId="78" applyFont="1" applyFill="1" applyBorder="1" applyAlignment="1">
      <alignment horizontal="left" vertical="center" wrapText="1"/>
      <protection/>
    </xf>
    <xf numFmtId="4" fontId="11" fillId="0" borderId="10" xfId="80" applyNumberFormat="1" applyFont="1" applyFill="1" applyBorder="1" applyAlignment="1">
      <alignment horizontal="center" vertical="center" wrapText="1"/>
      <protection/>
    </xf>
    <xf numFmtId="49" fontId="16" fillId="0" borderId="10" xfId="0" applyNumberFormat="1" applyFont="1" applyFill="1" applyBorder="1" applyAlignment="1">
      <alignment vertical="top" wrapText="1"/>
    </xf>
    <xf numFmtId="49" fontId="11" fillId="0" borderId="12" xfId="0" applyNumberFormat="1" applyFont="1" applyFill="1" applyBorder="1" applyAlignment="1">
      <alignment vertical="top" wrapText="1"/>
    </xf>
    <xf numFmtId="0" fontId="11" fillId="0" borderId="10" xfId="0" applyFont="1" applyFill="1" applyBorder="1" applyAlignment="1">
      <alignment/>
    </xf>
    <xf numFmtId="0" fontId="16" fillId="0" borderId="10" xfId="0" applyFont="1" applyFill="1" applyBorder="1" applyAlignment="1" applyProtection="1">
      <alignment horizontal="left" vertical="top" wrapText="1"/>
      <protection locked="0"/>
    </xf>
    <xf numFmtId="4" fontId="16" fillId="0" borderId="10" xfId="84" applyNumberFormat="1" applyFont="1" applyFill="1" applyBorder="1" applyAlignment="1">
      <alignment horizontal="center" vertical="center" wrapText="1"/>
      <protection/>
    </xf>
    <xf numFmtId="0" fontId="11" fillId="0" borderId="10" xfId="0" applyFont="1" applyFill="1" applyBorder="1" applyAlignment="1">
      <alignment vertical="top" wrapText="1"/>
    </xf>
    <xf numFmtId="0" fontId="11" fillId="0" borderId="12"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6" fillId="0" borderId="11" xfId="0" applyFont="1" applyFill="1" applyBorder="1" applyAlignment="1">
      <alignment vertical="top" wrapText="1"/>
    </xf>
    <xf numFmtId="0" fontId="11" fillId="0" borderId="11" xfId="0" applyFont="1" applyFill="1" applyBorder="1" applyAlignment="1">
      <alignment horizontal="left" vertical="top" wrapText="1"/>
    </xf>
    <xf numFmtId="4" fontId="16" fillId="0" borderId="10" xfId="95" applyNumberFormat="1" applyFont="1" applyFill="1" applyBorder="1" applyAlignment="1">
      <alignment horizontal="center" vertical="center"/>
    </xf>
    <xf numFmtId="0" fontId="16" fillId="0" borderId="10" xfId="0" applyFont="1" applyFill="1" applyBorder="1" applyAlignment="1">
      <alignment horizontal="center" vertical="center"/>
    </xf>
    <xf numFmtId="0" fontId="20" fillId="0" borderId="10" xfId="0" applyFont="1" applyFill="1" applyBorder="1" applyAlignment="1">
      <alignment horizontal="left" vertical="top" wrapText="1"/>
    </xf>
    <xf numFmtId="0" fontId="11" fillId="0" borderId="10" xfId="0" applyFont="1" applyFill="1" applyBorder="1" applyAlignment="1">
      <alignment horizontal="left" vertical="top" wrapText="1"/>
    </xf>
    <xf numFmtId="180" fontId="19" fillId="0" borderId="10" xfId="0" applyNumberFormat="1" applyFont="1" applyFill="1" applyBorder="1" applyAlignment="1">
      <alignment horizontal="center" vertical="center"/>
    </xf>
    <xf numFmtId="0" fontId="20" fillId="0" borderId="10" xfId="0" applyFont="1" applyFill="1" applyBorder="1" applyAlignment="1">
      <alignment horizontal="center" vertical="center" wrapText="1"/>
    </xf>
    <xf numFmtId="0" fontId="16" fillId="0" borderId="10" xfId="73" applyFont="1" applyFill="1" applyBorder="1" applyAlignment="1">
      <alignment horizontal="left" vertical="top" wrapText="1"/>
      <protection/>
    </xf>
    <xf numFmtId="0" fontId="11" fillId="0" borderId="13" xfId="0" applyFont="1" applyFill="1" applyBorder="1" applyAlignment="1">
      <alignment vertical="top" wrapText="1"/>
    </xf>
    <xf numFmtId="0" fontId="16" fillId="0" borderId="17" xfId="0" applyFont="1" applyFill="1" applyBorder="1" applyAlignment="1">
      <alignment horizontal="left" vertical="top" wrapText="1"/>
    </xf>
    <xf numFmtId="0" fontId="11" fillId="0" borderId="10" xfId="75" applyFont="1" applyFill="1" applyBorder="1" applyAlignment="1">
      <alignment horizontal="left" vertical="top" wrapText="1"/>
      <protection/>
    </xf>
    <xf numFmtId="0" fontId="11" fillId="0" borderId="10" xfId="0" applyFont="1" applyFill="1" applyBorder="1" applyAlignment="1">
      <alignment horizontal="center" vertical="center"/>
    </xf>
    <xf numFmtId="0" fontId="21" fillId="0" borderId="10" xfId="0" applyFont="1" applyFill="1" applyBorder="1" applyAlignment="1">
      <alignment horizontal="left" vertical="center" wrapText="1" indent="1"/>
    </xf>
    <xf numFmtId="9" fontId="16" fillId="0" borderId="10" xfId="0" applyNumberFormat="1" applyFont="1" applyFill="1" applyBorder="1" applyAlignment="1">
      <alignment horizontal="center" vertical="center" wrapText="1"/>
    </xf>
    <xf numFmtId="4" fontId="16" fillId="0" borderId="10" xfId="80" applyNumberFormat="1" applyFont="1" applyFill="1" applyBorder="1" applyAlignment="1">
      <alignment horizontal="center" vertical="center" wrapText="1"/>
      <protection/>
    </xf>
    <xf numFmtId="4" fontId="20" fillId="21" borderId="10" xfId="68" applyNumberFormat="1" applyFont="1" applyFill="1" applyBorder="1" applyAlignment="1">
      <alignment horizontal="center" vertical="center"/>
      <protection/>
    </xf>
    <xf numFmtId="180" fontId="20" fillId="21" borderId="10" xfId="68" applyNumberFormat="1" applyFont="1" applyFill="1" applyBorder="1" applyAlignment="1">
      <alignment horizontal="center" vertical="center"/>
      <protection/>
    </xf>
    <xf numFmtId="4" fontId="11" fillId="21" borderId="10" xfId="80" applyNumberFormat="1" applyFont="1" applyFill="1" applyBorder="1" applyAlignment="1">
      <alignment horizontal="center" vertical="center"/>
      <protection/>
    </xf>
    <xf numFmtId="180" fontId="20" fillId="0" borderId="10" xfId="0" applyNumberFormat="1" applyFont="1" applyFill="1" applyBorder="1" applyAlignment="1">
      <alignment vertical="top" wrapText="1"/>
    </xf>
    <xf numFmtId="4" fontId="0" fillId="0" borderId="0" xfId="0" applyNumberFormat="1" applyFont="1" applyFill="1" applyAlignment="1">
      <alignment horizontal="center" vertical="center"/>
    </xf>
    <xf numFmtId="4" fontId="20" fillId="0" borderId="10" xfId="0" applyNumberFormat="1" applyFont="1" applyBorder="1" applyAlignment="1">
      <alignment horizontal="center" vertical="center"/>
    </xf>
    <xf numFmtId="4" fontId="3" fillId="0" borderId="10" xfId="0" applyNumberFormat="1" applyFont="1" applyBorder="1" applyAlignment="1">
      <alignment horizontal="center" vertical="center"/>
    </xf>
    <xf numFmtId="0" fontId="3" fillId="0" borderId="10" xfId="79" applyFont="1" applyBorder="1" applyAlignment="1">
      <alignment horizontal="center" vertical="center" wrapText="1"/>
      <protection/>
    </xf>
    <xf numFmtId="4" fontId="3" fillId="0" borderId="10" xfId="79" applyNumberFormat="1" applyFont="1" applyBorder="1" applyAlignment="1">
      <alignment horizontal="center" vertical="center" wrapText="1"/>
      <protection/>
    </xf>
    <xf numFmtId="4" fontId="3" fillId="0" borderId="10" xfId="0" applyNumberFormat="1" applyFont="1" applyFill="1" applyBorder="1" applyAlignment="1">
      <alignment horizontal="center" vertical="center" wrapText="1"/>
    </xf>
    <xf numFmtId="4" fontId="3" fillId="0" borderId="10" xfId="80" applyNumberFormat="1" applyFont="1" applyFill="1" applyBorder="1" applyAlignment="1">
      <alignment horizontal="center" vertical="center" wrapText="1"/>
      <protection/>
    </xf>
    <xf numFmtId="16" fontId="22" fillId="0" borderId="0" xfId="80" applyNumberFormat="1" applyFont="1" applyFill="1" applyBorder="1">
      <alignment/>
      <protection/>
    </xf>
    <xf numFmtId="0" fontId="14" fillId="0" borderId="0" xfId="80">
      <alignment/>
      <protection/>
    </xf>
    <xf numFmtId="1" fontId="3" fillId="0" borderId="10" xfId="0" applyNumberFormat="1" applyFont="1" applyBorder="1" applyAlignment="1">
      <alignment horizontal="center" vertical="center" wrapText="1"/>
    </xf>
    <xf numFmtId="4" fontId="11" fillId="0" borderId="10" xfId="79" applyNumberFormat="1" applyFont="1" applyBorder="1" applyAlignment="1">
      <alignment horizontal="center" vertical="center" wrapText="1"/>
      <protection/>
    </xf>
    <xf numFmtId="4" fontId="23" fillId="0" borderId="0" xfId="80" applyNumberFormat="1" applyFont="1" applyFill="1" applyBorder="1" applyAlignment="1">
      <alignment horizontal="center" vertical="center"/>
      <protection/>
    </xf>
    <xf numFmtId="4" fontId="14" fillId="0" borderId="0" xfId="80" applyNumberFormat="1" applyFill="1" applyBorder="1">
      <alignment/>
      <protection/>
    </xf>
    <xf numFmtId="0" fontId="14" fillId="0" borderId="0" xfId="80" applyFill="1" applyBorder="1">
      <alignment/>
      <protection/>
    </xf>
    <xf numFmtId="1" fontId="3" fillId="0" borderId="10" xfId="0" applyNumberFormat="1" applyFont="1" applyFill="1" applyBorder="1" applyAlignment="1">
      <alignment horizontal="center" vertical="center"/>
    </xf>
    <xf numFmtId="1" fontId="3" fillId="0" borderId="10" xfId="0" applyNumberFormat="1" applyFont="1" applyBorder="1" applyAlignment="1">
      <alignment horizontal="center" vertical="center"/>
    </xf>
    <xf numFmtId="1" fontId="3" fillId="21" borderId="10" xfId="0" applyNumberFormat="1" applyFont="1" applyFill="1" applyBorder="1" applyAlignment="1">
      <alignment horizontal="center" vertical="center"/>
    </xf>
    <xf numFmtId="4" fontId="11" fillId="21" borderId="10" xfId="79" applyNumberFormat="1" applyFont="1" applyFill="1" applyBorder="1" applyAlignment="1">
      <alignment horizontal="center" vertical="center" wrapText="1"/>
      <protection/>
    </xf>
    <xf numFmtId="4" fontId="11" fillId="0" borderId="0" xfId="80" applyNumberFormat="1" applyFont="1" applyFill="1" applyBorder="1" applyAlignment="1">
      <alignment horizontal="center" vertical="center"/>
      <protection/>
    </xf>
    <xf numFmtId="4" fontId="24" fillId="0" borderId="0" xfId="80" applyNumberFormat="1" applyFont="1" applyFill="1" applyBorder="1">
      <alignment/>
      <protection/>
    </xf>
    <xf numFmtId="0" fontId="24" fillId="0" borderId="0" xfId="80" applyFont="1" applyFill="1" applyBorder="1">
      <alignment/>
      <protection/>
    </xf>
    <xf numFmtId="0" fontId="24" fillId="0" borderId="0" xfId="80" applyFont="1">
      <alignment/>
      <protection/>
    </xf>
    <xf numFmtId="4" fontId="16" fillId="0" borderId="0" xfId="80" applyNumberFormat="1" applyFont="1" applyFill="1" applyBorder="1" applyAlignment="1">
      <alignment horizontal="center" vertical="center"/>
      <protection/>
    </xf>
    <xf numFmtId="0" fontId="14" fillId="0" borderId="0" xfId="80" applyFill="1">
      <alignment/>
      <protection/>
    </xf>
    <xf numFmtId="0" fontId="3" fillId="0" borderId="0" xfId="79" applyFont="1" applyFill="1" applyBorder="1" applyAlignment="1">
      <alignment horizontal="center" wrapText="1"/>
      <protection/>
    </xf>
    <xf numFmtId="4" fontId="11" fillId="0" borderId="0" xfId="79" applyNumberFormat="1" applyFont="1" applyFill="1" applyBorder="1" applyAlignment="1">
      <alignment horizontal="center" vertical="center" wrapText="1"/>
      <protection/>
    </xf>
    <xf numFmtId="0" fontId="16" fillId="0" borderId="0" xfId="80" applyFont="1" applyFill="1" applyBorder="1">
      <alignment/>
      <protection/>
    </xf>
    <xf numFmtId="4" fontId="19" fillId="21" borderId="0" xfId="0" applyNumberFormat="1" applyFont="1" applyFill="1" applyBorder="1" applyAlignment="1">
      <alignment horizontal="center" vertical="center"/>
    </xf>
    <xf numFmtId="0" fontId="11" fillId="0" borderId="10" xfId="0" applyFont="1" applyBorder="1" applyAlignment="1">
      <alignment horizontal="center" vertical="center" wrapText="1"/>
    </xf>
    <xf numFmtId="0" fontId="11" fillId="21" borderId="10" xfId="0" applyFont="1" applyFill="1" applyBorder="1" applyAlignment="1">
      <alignment horizontal="center" vertical="center"/>
    </xf>
    <xf numFmtId="4" fontId="11" fillId="0" borderId="10" xfId="0" applyNumberFormat="1" applyFont="1" applyBorder="1" applyAlignment="1">
      <alignment horizontal="center" vertical="center" wrapText="1"/>
    </xf>
    <xf numFmtId="4" fontId="16" fillId="0" borderId="10" xfId="0" applyNumberFormat="1" applyFont="1" applyBorder="1" applyAlignment="1">
      <alignment horizontal="center" vertical="center" wrapText="1"/>
    </xf>
    <xf numFmtId="4" fontId="0" fillId="0" borderId="0" xfId="0" applyNumberFormat="1" applyFont="1" applyFill="1" applyAlignment="1" applyProtection="1">
      <alignment horizontal="center" vertical="center"/>
      <protection/>
    </xf>
    <xf numFmtId="4" fontId="3" fillId="0" borderId="0" xfId="80" applyNumberFormat="1" applyFont="1" applyFill="1" applyBorder="1" applyAlignment="1">
      <alignment horizontal="center" vertical="center" wrapText="1"/>
      <protection/>
    </xf>
    <xf numFmtId="4" fontId="11" fillId="0" borderId="0" xfId="79" applyNumberFormat="1" applyFont="1" applyAlignment="1">
      <alignment horizontal="center" vertical="center" wrapText="1"/>
      <protection/>
    </xf>
    <xf numFmtId="4" fontId="11" fillId="0" borderId="0" xfId="79" applyNumberFormat="1" applyFont="1" applyBorder="1" applyAlignment="1">
      <alignment horizontal="center" vertical="center" wrapText="1"/>
      <protection/>
    </xf>
    <xf numFmtId="4" fontId="0" fillId="0" borderId="0" xfId="0" applyNumberFormat="1" applyFont="1" applyFill="1" applyAlignment="1" applyProtection="1">
      <alignment horizontal="center" vertical="center"/>
      <protection/>
    </xf>
    <xf numFmtId="4" fontId="0" fillId="0" borderId="0" xfId="0" applyNumberFormat="1" applyFont="1" applyFill="1" applyAlignment="1">
      <alignment horizontal="center" vertical="center"/>
    </xf>
    <xf numFmtId="4" fontId="11" fillId="24" borderId="10" xfId="0" applyNumberFormat="1" applyFont="1" applyFill="1" applyBorder="1" applyAlignment="1">
      <alignment horizontal="center" vertical="center"/>
    </xf>
    <xf numFmtId="4" fontId="11" fillId="24" borderId="10" xfId="0" applyNumberFormat="1" applyFont="1" applyFill="1" applyBorder="1" applyAlignment="1" applyProtection="1">
      <alignment horizontal="center" vertical="center"/>
      <protection/>
    </xf>
    <xf numFmtId="49" fontId="11" fillId="0" borderId="10"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wrapText="1"/>
      <protection/>
    </xf>
    <xf numFmtId="49" fontId="11" fillId="21" borderId="10" xfId="0" applyNumberFormat="1" applyFont="1" applyFill="1" applyBorder="1" applyAlignment="1">
      <alignment horizontal="center" vertical="center" wrapText="1"/>
    </xf>
    <xf numFmtId="0" fontId="16" fillId="21" borderId="0" xfId="0" applyFont="1" applyFill="1" applyAlignment="1">
      <alignment vertical="center"/>
    </xf>
    <xf numFmtId="0" fontId="11" fillId="21" borderId="10" xfId="0" applyFont="1" applyFill="1" applyBorder="1" applyAlignment="1">
      <alignment horizontal="justify" vertical="center" wrapText="1"/>
    </xf>
    <xf numFmtId="180" fontId="19" fillId="0" borderId="10" xfId="68" applyNumberFormat="1" applyFont="1" applyFill="1" applyBorder="1" applyAlignment="1">
      <alignment vertical="center" wrapText="1"/>
      <protection/>
    </xf>
    <xf numFmtId="4" fontId="19" fillId="24" borderId="10" xfId="68" applyNumberFormat="1" applyFont="1" applyFill="1" applyBorder="1" applyAlignment="1">
      <alignment horizontal="center" vertical="center"/>
      <protection/>
    </xf>
    <xf numFmtId="49" fontId="11" fillId="21" borderId="10" xfId="0" applyNumberFormat="1" applyFont="1" applyFill="1" applyBorder="1" applyAlignment="1">
      <alignment horizontal="center" vertical="justify" wrapText="1"/>
    </xf>
    <xf numFmtId="0" fontId="11" fillId="21" borderId="10" xfId="0" applyFont="1" applyFill="1" applyBorder="1" applyAlignment="1">
      <alignment horizontal="center" vertical="center" wrapText="1"/>
    </xf>
    <xf numFmtId="0" fontId="11" fillId="21" borderId="10" xfId="0" applyNumberFormat="1" applyFont="1" applyFill="1" applyBorder="1" applyAlignment="1" applyProtection="1">
      <alignment/>
      <protection/>
    </xf>
    <xf numFmtId="4" fontId="16" fillId="21" borderId="10" xfId="0" applyNumberFormat="1" applyFont="1" applyFill="1" applyBorder="1" applyAlignment="1" applyProtection="1">
      <alignment horizontal="center" vertical="center"/>
      <protection/>
    </xf>
    <xf numFmtId="180" fontId="16" fillId="21" borderId="10" xfId="0" applyNumberFormat="1" applyFont="1" applyFill="1" applyBorder="1" applyAlignment="1" applyProtection="1">
      <alignment horizontal="center" vertical="center"/>
      <protection/>
    </xf>
    <xf numFmtId="4" fontId="11" fillId="21" borderId="10" xfId="0" applyNumberFormat="1" applyFont="1" applyFill="1" applyBorder="1" applyAlignment="1" applyProtection="1">
      <alignment horizontal="center" vertical="center"/>
      <protection/>
    </xf>
    <xf numFmtId="180" fontId="16" fillId="0" borderId="10" xfId="0" applyNumberFormat="1" applyFont="1" applyFill="1" applyBorder="1" applyAlignment="1" applyProtection="1">
      <alignment horizontal="center" vertical="center"/>
      <protection/>
    </xf>
    <xf numFmtId="4" fontId="16" fillId="24" borderId="10" xfId="0" applyNumberFormat="1" applyFont="1" applyFill="1" applyBorder="1" applyAlignment="1">
      <alignment horizontal="center" vertical="center"/>
    </xf>
    <xf numFmtId="4" fontId="16" fillId="25" borderId="10" xfId="0" applyNumberFormat="1" applyFont="1" applyFill="1" applyBorder="1" applyAlignment="1">
      <alignment horizontal="center" vertical="center"/>
    </xf>
    <xf numFmtId="4" fontId="16" fillId="26" borderId="10" xfId="0" applyNumberFormat="1" applyFont="1" applyFill="1" applyBorder="1" applyAlignment="1">
      <alignment horizontal="center" vertical="center"/>
    </xf>
    <xf numFmtId="4" fontId="16" fillId="27" borderId="10" xfId="0" applyNumberFormat="1" applyFont="1" applyFill="1" applyBorder="1" applyAlignment="1">
      <alignment horizontal="center" vertical="center"/>
    </xf>
    <xf numFmtId="180" fontId="20" fillId="0" borderId="10" xfId="68" applyNumberFormat="1" applyFont="1" applyFill="1" applyBorder="1" applyAlignment="1">
      <alignment vertical="top" wrapText="1"/>
      <protection/>
    </xf>
    <xf numFmtId="49" fontId="11" fillId="21" borderId="10" xfId="0" applyNumberFormat="1" applyFont="1" applyFill="1" applyBorder="1" applyAlignment="1">
      <alignment horizontal="center" vertical="top" wrapText="1"/>
    </xf>
    <xf numFmtId="180" fontId="19" fillId="21" borderId="10" xfId="0" applyNumberFormat="1" applyFont="1" applyFill="1" applyBorder="1" applyAlignment="1">
      <alignment vertical="justify" wrapText="1"/>
    </xf>
    <xf numFmtId="180" fontId="19" fillId="21" borderId="10" xfId="0" applyNumberFormat="1" applyFont="1" applyFill="1" applyBorder="1" applyAlignment="1">
      <alignment horizontal="center" vertical="center"/>
    </xf>
    <xf numFmtId="180" fontId="19" fillId="21" borderId="0" xfId="0" applyNumberFormat="1" applyFont="1" applyFill="1" applyBorder="1" applyAlignment="1">
      <alignment horizontal="center" vertical="center"/>
    </xf>
    <xf numFmtId="4" fontId="11" fillId="24" borderId="10" xfId="0" applyNumberFormat="1" applyFont="1" applyFill="1" applyBorder="1" applyAlignment="1">
      <alignment horizontal="center" vertical="center" wrapText="1"/>
    </xf>
    <xf numFmtId="4" fontId="11" fillId="24" borderId="10" xfId="80" applyNumberFormat="1" applyFont="1" applyFill="1" applyBorder="1" applyAlignment="1">
      <alignment horizontal="center" vertical="center"/>
      <protection/>
    </xf>
    <xf numFmtId="4" fontId="19" fillId="24" borderId="10" xfId="0" applyNumberFormat="1" applyFont="1" applyFill="1" applyBorder="1" applyAlignment="1">
      <alignment horizontal="center" vertical="center"/>
    </xf>
    <xf numFmtId="4" fontId="19" fillId="21" borderId="18" xfId="68" applyNumberFormat="1" applyFont="1" applyFill="1" applyBorder="1" applyAlignment="1">
      <alignment horizontal="center" vertical="center"/>
      <protection/>
    </xf>
    <xf numFmtId="4" fontId="19" fillId="0" borderId="18" xfId="68" applyNumberFormat="1" applyFont="1" applyFill="1" applyBorder="1" applyAlignment="1">
      <alignment horizontal="center" vertical="center"/>
      <protection/>
    </xf>
    <xf numFmtId="4" fontId="20" fillId="0" borderId="18" xfId="68" applyNumberFormat="1" applyFont="1" applyFill="1" applyBorder="1" applyAlignment="1">
      <alignment horizontal="center" vertical="center"/>
      <protection/>
    </xf>
    <xf numFmtId="4" fontId="16" fillId="21" borderId="18" xfId="0" applyNumberFormat="1" applyFont="1" applyFill="1" applyBorder="1" applyAlignment="1" applyProtection="1">
      <alignment horizontal="center" vertical="center"/>
      <protection/>
    </xf>
    <xf numFmtId="4" fontId="16" fillId="0" borderId="18" xfId="0" applyNumberFormat="1" applyFont="1" applyFill="1" applyBorder="1" applyAlignment="1" applyProtection="1">
      <alignment horizontal="center" vertical="center"/>
      <protection/>
    </xf>
    <xf numFmtId="4" fontId="16" fillId="0" borderId="18" xfId="0" applyNumberFormat="1" applyFont="1" applyFill="1" applyBorder="1" applyAlignment="1">
      <alignment horizontal="center" vertical="center" wrapText="1"/>
    </xf>
    <xf numFmtId="4" fontId="20" fillId="0" borderId="18" xfId="0" applyNumberFormat="1" applyFont="1" applyFill="1" applyBorder="1" applyAlignment="1">
      <alignment horizontal="center" vertical="center" wrapText="1"/>
    </xf>
    <xf numFmtId="4" fontId="16" fillId="0" borderId="18" xfId="82" applyNumberFormat="1" applyFont="1" applyFill="1" applyBorder="1" applyAlignment="1">
      <alignment horizontal="center" vertical="center" wrapText="1"/>
      <protection/>
    </xf>
    <xf numFmtId="4" fontId="16" fillId="0" borderId="18" xfId="0" applyNumberFormat="1" applyFont="1" applyFill="1" applyBorder="1" applyAlignment="1">
      <alignment horizontal="center" vertical="center"/>
    </xf>
    <xf numFmtId="4" fontId="11" fillId="0" borderId="18" xfId="0" applyNumberFormat="1" applyFont="1" applyFill="1" applyBorder="1" applyAlignment="1" applyProtection="1">
      <alignment horizontal="center" vertical="center"/>
      <protection/>
    </xf>
    <xf numFmtId="4" fontId="20" fillId="0" borderId="19" xfId="0" applyNumberFormat="1" applyFont="1" applyFill="1" applyBorder="1" applyAlignment="1">
      <alignment horizontal="center" vertical="center" wrapText="1"/>
    </xf>
    <xf numFmtId="4" fontId="20" fillId="21" borderId="18" xfId="0" applyNumberFormat="1" applyFont="1" applyFill="1" applyBorder="1" applyAlignment="1">
      <alignment horizontal="center" vertical="center"/>
    </xf>
    <xf numFmtId="4" fontId="20" fillId="0" borderId="18" xfId="0" applyNumberFormat="1" applyFont="1" applyFill="1" applyBorder="1" applyAlignment="1">
      <alignment horizontal="center" vertical="center"/>
    </xf>
    <xf numFmtId="4" fontId="11" fillId="0" borderId="18" xfId="0" applyNumberFormat="1" applyFont="1" applyFill="1" applyBorder="1" applyAlignment="1">
      <alignment horizontal="center" vertical="center"/>
    </xf>
    <xf numFmtId="0" fontId="16" fillId="0" borderId="20" xfId="0" applyFont="1" applyFill="1" applyBorder="1" applyAlignment="1">
      <alignment horizontal="center" vertical="center" wrapText="1"/>
    </xf>
    <xf numFmtId="0" fontId="16" fillId="0" borderId="18" xfId="85" applyFont="1" applyFill="1" applyBorder="1" applyAlignment="1">
      <alignment horizontal="center" vertical="top" wrapText="1"/>
      <protection/>
    </xf>
    <xf numFmtId="186" fontId="16" fillId="0" borderId="21" xfId="0" applyNumberFormat="1" applyFont="1" applyFill="1" applyBorder="1" applyAlignment="1">
      <alignment horizontal="center" vertical="center" wrapText="1"/>
    </xf>
    <xf numFmtId="4" fontId="16" fillId="0" borderId="18" xfId="79" applyNumberFormat="1" applyFont="1" applyFill="1" applyBorder="1" applyAlignment="1">
      <alignment horizontal="center" vertical="center" wrapText="1"/>
      <protection/>
    </xf>
    <xf numFmtId="186" fontId="16" fillId="0" borderId="18" xfId="0" applyNumberFormat="1" applyFont="1" applyFill="1" applyBorder="1" applyAlignment="1">
      <alignment horizontal="center" vertical="center" wrapText="1"/>
    </xf>
    <xf numFmtId="4" fontId="11" fillId="0" borderId="18" xfId="79" applyNumberFormat="1" applyFont="1" applyFill="1" applyBorder="1" applyAlignment="1">
      <alignment horizontal="center" vertical="center" wrapText="1"/>
      <protection/>
    </xf>
    <xf numFmtId="0" fontId="11" fillId="0" borderId="18" xfId="0" applyFont="1" applyFill="1" applyBorder="1" applyAlignment="1">
      <alignment/>
    </xf>
    <xf numFmtId="0" fontId="16" fillId="0" borderId="18" xfId="0" applyFont="1" applyFill="1" applyBorder="1" applyAlignment="1">
      <alignment horizontal="center" vertical="center" wrapText="1"/>
    </xf>
    <xf numFmtId="0" fontId="16" fillId="0" borderId="19" xfId="0" applyFont="1" applyFill="1" applyBorder="1" applyAlignment="1">
      <alignment horizontal="center"/>
    </xf>
    <xf numFmtId="0" fontId="11" fillId="0" borderId="19" xfId="0" applyFont="1" applyFill="1" applyBorder="1" applyAlignment="1">
      <alignment horizontal="center"/>
    </xf>
    <xf numFmtId="0" fontId="16" fillId="0" borderId="18" xfId="0" applyFont="1" applyFill="1" applyBorder="1" applyAlignment="1">
      <alignment vertical="top" wrapText="1"/>
    </xf>
    <xf numFmtId="186" fontId="11" fillId="0" borderId="18" xfId="0" applyNumberFormat="1" applyFont="1" applyFill="1" applyBorder="1" applyAlignment="1">
      <alignment horizontal="center" vertical="center" wrapText="1"/>
    </xf>
    <xf numFmtId="0" fontId="16" fillId="0" borderId="18" xfId="0" applyFont="1" applyFill="1" applyBorder="1" applyAlignment="1">
      <alignment horizontal="center"/>
    </xf>
    <xf numFmtId="0" fontId="16" fillId="0" borderId="21" xfId="0" applyFont="1" applyFill="1" applyBorder="1" applyAlignment="1">
      <alignment horizontal="center" vertical="top" wrapText="1"/>
    </xf>
    <xf numFmtId="0" fontId="16" fillId="0" borderId="18" xfId="0" applyFont="1" applyFill="1" applyBorder="1" applyAlignment="1">
      <alignment/>
    </xf>
    <xf numFmtId="4" fontId="19" fillId="0" borderId="18" xfId="0" applyNumberFormat="1" applyFont="1" applyFill="1" applyBorder="1" applyAlignment="1">
      <alignment horizontal="center" vertical="center"/>
    </xf>
    <xf numFmtId="4" fontId="16" fillId="0" borderId="18" xfId="79" applyNumberFormat="1" applyFont="1" applyFill="1" applyBorder="1" applyAlignment="1">
      <alignment horizontal="center" vertical="center"/>
      <protection/>
    </xf>
    <xf numFmtId="4" fontId="20" fillId="21" borderId="18" xfId="68" applyNumberFormat="1" applyFont="1" applyFill="1" applyBorder="1" applyAlignment="1">
      <alignment horizontal="center" vertical="center"/>
      <protection/>
    </xf>
    <xf numFmtId="4" fontId="19" fillId="21" borderId="18" xfId="0" applyNumberFormat="1" applyFont="1" applyFill="1" applyBorder="1" applyAlignment="1">
      <alignment horizontal="center" vertical="center"/>
    </xf>
    <xf numFmtId="1" fontId="19" fillId="21" borderId="10" xfId="68" applyNumberFormat="1" applyFont="1" applyFill="1" applyBorder="1" applyAlignment="1">
      <alignment horizontal="center" vertical="center"/>
      <protection/>
    </xf>
    <xf numFmtId="1" fontId="19" fillId="0" borderId="10" xfId="68" applyNumberFormat="1" applyFont="1" applyFill="1" applyBorder="1" applyAlignment="1">
      <alignment horizontal="center" vertical="center"/>
      <protection/>
    </xf>
    <xf numFmtId="1" fontId="20" fillId="0" borderId="10" xfId="68" applyNumberFormat="1" applyFont="1" applyFill="1" applyBorder="1" applyAlignment="1">
      <alignment horizontal="center" vertical="center"/>
      <protection/>
    </xf>
    <xf numFmtId="1" fontId="16" fillId="21" borderId="10" xfId="0" applyNumberFormat="1" applyFont="1" applyFill="1" applyBorder="1" applyAlignment="1" applyProtection="1">
      <alignment horizontal="center" vertical="center"/>
      <protection/>
    </xf>
    <xf numFmtId="1" fontId="16" fillId="0" borderId="10" xfId="0" applyNumberFormat="1" applyFont="1" applyFill="1" applyBorder="1" applyAlignment="1" applyProtection="1">
      <alignment horizontal="center" vertical="center"/>
      <protection/>
    </xf>
    <xf numFmtId="1" fontId="16" fillId="0" borderId="10" xfId="0" applyNumberFormat="1" applyFont="1" applyFill="1" applyBorder="1" applyAlignment="1">
      <alignment horizontal="center" vertical="center" wrapText="1"/>
    </xf>
    <xf numFmtId="1" fontId="20" fillId="0" borderId="10" xfId="0" applyNumberFormat="1" applyFont="1" applyFill="1" applyBorder="1" applyAlignment="1">
      <alignment horizontal="center" vertical="center" wrapText="1"/>
    </xf>
    <xf numFmtId="1" fontId="16" fillId="0" borderId="10" xfId="0" applyNumberFormat="1" applyFont="1" applyFill="1" applyBorder="1" applyAlignment="1">
      <alignment horizontal="center" vertical="center"/>
    </xf>
    <xf numFmtId="1" fontId="11" fillId="0" borderId="10" xfId="0" applyNumberFormat="1" applyFont="1" applyFill="1" applyBorder="1" applyAlignment="1" applyProtection="1">
      <alignment horizontal="center" vertical="center"/>
      <protection/>
    </xf>
    <xf numFmtId="1" fontId="20" fillId="21" borderId="10" xfId="0" applyNumberFormat="1" applyFont="1" applyFill="1" applyBorder="1" applyAlignment="1">
      <alignment horizontal="center" vertical="center"/>
    </xf>
    <xf numFmtId="1" fontId="20" fillId="0" borderId="10" xfId="0" applyNumberFormat="1" applyFont="1" applyFill="1" applyBorder="1" applyAlignment="1">
      <alignment horizontal="center" vertical="center"/>
    </xf>
    <xf numFmtId="1" fontId="11" fillId="0" borderId="10" xfId="0" applyNumberFormat="1" applyFont="1" applyFill="1" applyBorder="1" applyAlignment="1">
      <alignment horizontal="center" vertical="center"/>
    </xf>
    <xf numFmtId="1" fontId="16" fillId="0" borderId="10" xfId="79" applyNumberFormat="1" applyFont="1" applyFill="1" applyBorder="1" applyAlignment="1">
      <alignment horizontal="center" vertical="center" wrapText="1"/>
      <protection/>
    </xf>
    <xf numFmtId="1" fontId="11" fillId="0" borderId="10" xfId="79" applyNumberFormat="1" applyFont="1" applyFill="1" applyBorder="1" applyAlignment="1">
      <alignment horizontal="center" vertical="center" wrapText="1"/>
      <protection/>
    </xf>
    <xf numFmtId="1" fontId="16" fillId="0" borderId="10" xfId="79" applyNumberFormat="1" applyFont="1" applyFill="1" applyBorder="1" applyAlignment="1">
      <alignment horizontal="center" vertical="center"/>
      <protection/>
    </xf>
    <xf numFmtId="1" fontId="20" fillId="21" borderId="10" xfId="68" applyNumberFormat="1" applyFont="1" applyFill="1" applyBorder="1" applyAlignment="1">
      <alignment horizontal="center" vertical="center"/>
      <protection/>
    </xf>
    <xf numFmtId="1" fontId="19" fillId="21" borderId="10" xfId="0" applyNumberFormat="1" applyFont="1" applyFill="1" applyBorder="1" applyAlignment="1">
      <alignment horizontal="center" vertical="center"/>
    </xf>
    <xf numFmtId="1" fontId="19" fillId="0" borderId="10" xfId="0" applyNumberFormat="1" applyFont="1" applyFill="1" applyBorder="1" applyAlignment="1">
      <alignment horizontal="center" vertical="center"/>
    </xf>
    <xf numFmtId="4" fontId="16" fillId="28" borderId="10" xfId="80" applyNumberFormat="1" applyFont="1" applyFill="1" applyBorder="1" applyAlignment="1">
      <alignment horizontal="center" vertical="center"/>
      <protection/>
    </xf>
    <xf numFmtId="4" fontId="16" fillId="28" borderId="10" xfId="0" applyNumberFormat="1" applyFont="1" applyFill="1" applyBorder="1" applyAlignment="1">
      <alignment horizontal="center" vertical="center"/>
    </xf>
    <xf numFmtId="0" fontId="11" fillId="0" borderId="10" xfId="0" applyFont="1" applyFill="1" applyBorder="1" applyAlignment="1">
      <alignment horizontal="left" vertical="center" wrapText="1"/>
    </xf>
    <xf numFmtId="0" fontId="16" fillId="4" borderId="10" xfId="83" applyFont="1" applyFill="1" applyBorder="1" applyAlignment="1">
      <alignment horizontal="left" vertical="center" wrapText="1"/>
      <protection/>
    </xf>
    <xf numFmtId="0" fontId="16" fillId="4" borderId="10" xfId="82" applyFont="1" applyFill="1" applyBorder="1" applyAlignment="1">
      <alignment horizontal="left" vertical="center" wrapText="1"/>
      <protection/>
    </xf>
    <xf numFmtId="0" fontId="21" fillId="4" borderId="10" xfId="82" applyFont="1" applyFill="1" applyBorder="1" applyAlignment="1">
      <alignment horizontal="left" vertical="center" wrapText="1"/>
      <protection/>
    </xf>
    <xf numFmtId="0" fontId="16" fillId="4" borderId="10" xfId="76" applyFont="1" applyFill="1" applyBorder="1" applyAlignment="1">
      <alignment horizontal="left" vertical="center" wrapText="1"/>
      <protection/>
    </xf>
    <xf numFmtId="0" fontId="21" fillId="4" borderId="10" xfId="76" applyFont="1" applyFill="1" applyBorder="1" applyAlignment="1">
      <alignment horizontal="left" vertical="center" wrapText="1"/>
      <protection/>
    </xf>
    <xf numFmtId="0" fontId="16" fillId="4" borderId="10" xfId="78" applyFont="1" applyFill="1" applyBorder="1" applyAlignment="1">
      <alignment horizontal="left" vertical="center" wrapText="1"/>
      <protection/>
    </xf>
    <xf numFmtId="0" fontId="21" fillId="4" borderId="10" xfId="78" applyFont="1" applyFill="1" applyBorder="1" applyAlignment="1">
      <alignment horizontal="left" vertical="center" wrapText="1"/>
      <protection/>
    </xf>
    <xf numFmtId="0" fontId="16" fillId="4" borderId="10" xfId="0" applyFont="1" applyFill="1" applyBorder="1" applyAlignment="1">
      <alignment horizontal="left" vertical="center" wrapText="1"/>
    </xf>
    <xf numFmtId="0" fontId="21" fillId="4" borderId="10" xfId="0" applyFont="1" applyFill="1" applyBorder="1" applyAlignment="1">
      <alignment horizontal="left" vertical="center" wrapText="1"/>
    </xf>
    <xf numFmtId="0" fontId="16" fillId="4" borderId="10" xfId="73" applyFont="1" applyFill="1" applyBorder="1" applyAlignment="1">
      <alignment vertical="top" wrapText="1"/>
      <protection/>
    </xf>
    <xf numFmtId="0" fontId="16" fillId="4" borderId="10" xfId="0" applyFont="1" applyFill="1" applyBorder="1" applyAlignment="1">
      <alignment horizontal="left" vertical="top" wrapText="1"/>
    </xf>
    <xf numFmtId="0" fontId="16" fillId="4" borderId="10" xfId="0" applyFont="1" applyFill="1" applyBorder="1" applyAlignment="1">
      <alignment vertical="top" wrapText="1"/>
    </xf>
    <xf numFmtId="0" fontId="16" fillId="0" borderId="11" xfId="75" applyFont="1" applyFill="1" applyBorder="1" applyAlignment="1">
      <alignment horizontal="left" vertical="top" wrapText="1"/>
      <protection/>
    </xf>
    <xf numFmtId="0" fontId="16" fillId="0" borderId="22" xfId="0" applyFont="1" applyFill="1" applyBorder="1" applyAlignment="1">
      <alignment horizontal="left" vertical="center" wrapText="1"/>
    </xf>
    <xf numFmtId="4" fontId="16" fillId="0" borderId="23" xfId="0" applyNumberFormat="1" applyFont="1" applyFill="1" applyBorder="1" applyAlignment="1">
      <alignment horizontal="center" vertical="center"/>
    </xf>
    <xf numFmtId="4" fontId="20" fillId="0" borderId="24" xfId="0" applyNumberFormat="1" applyFont="1" applyFill="1" applyBorder="1" applyAlignment="1">
      <alignment horizontal="center" vertical="center" wrapText="1"/>
    </xf>
    <xf numFmtId="4" fontId="11" fillId="24" borderId="10" xfId="95" applyNumberFormat="1" applyFont="1" applyFill="1" applyBorder="1" applyAlignment="1">
      <alignment horizontal="center" vertical="center"/>
    </xf>
    <xf numFmtId="0" fontId="16" fillId="0" borderId="25" xfId="0" applyFont="1" applyFill="1" applyBorder="1" applyAlignment="1">
      <alignment horizontal="center" vertical="top" wrapText="1"/>
    </xf>
    <xf numFmtId="1" fontId="20" fillId="0" borderId="10" xfId="68" applyNumberFormat="1" applyFont="1" applyFill="1" applyBorder="1" applyAlignment="1">
      <alignment horizontal="center" vertical="center" wrapText="1"/>
      <protection/>
    </xf>
    <xf numFmtId="0" fontId="16" fillId="0" borderId="10" xfId="0" applyFont="1" applyFill="1" applyBorder="1" applyAlignment="1">
      <alignment wrapText="1"/>
    </xf>
    <xf numFmtId="0" fontId="11" fillId="21" borderId="18" xfId="0" applyFont="1" applyFill="1" applyBorder="1" applyAlignment="1">
      <alignment horizontal="left" vertical="top" wrapText="1"/>
    </xf>
    <xf numFmtId="189" fontId="25" fillId="0" borderId="18" xfId="0" applyNumberFormat="1" applyFont="1" applyFill="1" applyBorder="1" applyAlignment="1">
      <alignment horizontal="left" vertical="center" wrapText="1"/>
    </xf>
    <xf numFmtId="189" fontId="25" fillId="0" borderId="26" xfId="0" applyNumberFormat="1" applyFont="1" applyFill="1" applyBorder="1" applyAlignment="1">
      <alignment horizontal="left" vertical="center" wrapText="1"/>
    </xf>
    <xf numFmtId="189" fontId="25" fillId="0" borderId="11" xfId="0" applyNumberFormat="1" applyFont="1" applyFill="1" applyBorder="1" applyAlignment="1">
      <alignment horizontal="left" vertical="center" wrapText="1"/>
    </xf>
    <xf numFmtId="0" fontId="11" fillId="0" borderId="10" xfId="0" applyFont="1" applyFill="1" applyBorder="1" applyAlignment="1">
      <alignment horizontal="center" vertical="center" wrapText="1"/>
    </xf>
    <xf numFmtId="0" fontId="11" fillId="0" borderId="25" xfId="0" applyFont="1" applyFill="1" applyBorder="1" applyAlignment="1">
      <alignment horizontal="center" vertical="top" wrapText="1"/>
    </xf>
    <xf numFmtId="0" fontId="11" fillId="0" borderId="27" xfId="0" applyFont="1" applyFill="1" applyBorder="1" applyAlignment="1">
      <alignment horizontal="center" vertical="top" wrapText="1"/>
    </xf>
    <xf numFmtId="0" fontId="11" fillId="0" borderId="23" xfId="0" applyFont="1" applyFill="1" applyBorder="1" applyAlignment="1">
      <alignment horizontal="center" vertical="top" wrapText="1"/>
    </xf>
    <xf numFmtId="49" fontId="11" fillId="0" borderId="25" xfId="0" applyNumberFormat="1" applyFont="1" applyBorder="1" applyAlignment="1">
      <alignment horizontal="center" vertical="top" wrapText="1"/>
    </xf>
    <xf numFmtId="49" fontId="11" fillId="0" borderId="27" xfId="0" applyNumberFormat="1" applyFont="1" applyBorder="1" applyAlignment="1">
      <alignment horizontal="center" vertical="top" wrapText="1"/>
    </xf>
    <xf numFmtId="49" fontId="11" fillId="0" borderId="23" xfId="0" applyNumberFormat="1" applyFont="1" applyBorder="1" applyAlignment="1">
      <alignment horizontal="center" vertical="top" wrapText="1"/>
    </xf>
    <xf numFmtId="0" fontId="11" fillId="21" borderId="18" xfId="0" applyFont="1" applyFill="1" applyBorder="1" applyAlignment="1">
      <alignment horizontal="left" vertical="center" wrapText="1"/>
    </xf>
    <xf numFmtId="0" fontId="11" fillId="21" borderId="11" xfId="0" applyFont="1" applyFill="1" applyBorder="1" applyAlignment="1">
      <alignment horizontal="left" vertical="center" wrapText="1"/>
    </xf>
    <xf numFmtId="49" fontId="11" fillId="0" borderId="10" xfId="0" applyNumberFormat="1" applyFont="1" applyBorder="1" applyAlignment="1">
      <alignment horizontal="center" vertical="top" wrapText="1"/>
    </xf>
    <xf numFmtId="0" fontId="11" fillId="0" borderId="10" xfId="0" applyFont="1" applyBorder="1" applyAlignment="1">
      <alignment horizontal="center" vertical="top" wrapText="1"/>
    </xf>
    <xf numFmtId="49" fontId="11" fillId="0" borderId="12" xfId="0" applyNumberFormat="1" applyFont="1" applyBorder="1" applyAlignment="1">
      <alignment horizontal="center" vertical="top" wrapText="1"/>
    </xf>
    <xf numFmtId="49" fontId="11" fillId="0" borderId="13" xfId="0" applyNumberFormat="1" applyFont="1" applyBorder="1" applyAlignment="1">
      <alignment horizontal="center" vertical="top" wrapText="1"/>
    </xf>
    <xf numFmtId="0" fontId="11" fillId="0" borderId="10" xfId="0" applyFont="1" applyFill="1" applyBorder="1" applyAlignment="1">
      <alignment horizontal="center" vertical="top" wrapText="1"/>
    </xf>
    <xf numFmtId="0" fontId="11" fillId="0" borderId="12" xfId="0" applyFont="1" applyFill="1" applyBorder="1" applyAlignment="1">
      <alignment horizontal="center" vertical="top" wrapText="1"/>
    </xf>
    <xf numFmtId="0" fontId="11" fillId="0" borderId="13" xfId="0" applyFont="1" applyFill="1" applyBorder="1" applyAlignment="1">
      <alignment horizontal="center" vertical="top" wrapText="1"/>
    </xf>
    <xf numFmtId="0" fontId="11" fillId="21" borderId="11" xfId="0" applyFont="1" applyFill="1" applyBorder="1" applyAlignment="1">
      <alignment horizontal="left" vertical="top" wrapText="1"/>
    </xf>
    <xf numFmtId="49" fontId="11" fillId="0" borderId="10" xfId="0" applyNumberFormat="1" applyFont="1" applyFill="1" applyBorder="1" applyAlignment="1">
      <alignment horizontal="center" vertical="top" wrapText="1"/>
    </xf>
    <xf numFmtId="49" fontId="11" fillId="0" borderId="12" xfId="0" applyNumberFormat="1" applyFont="1" applyFill="1" applyBorder="1" applyAlignment="1">
      <alignment horizontal="center" vertical="top" wrapText="1"/>
    </xf>
    <xf numFmtId="49" fontId="11" fillId="0" borderId="13" xfId="0" applyNumberFormat="1" applyFont="1" applyFill="1" applyBorder="1" applyAlignment="1">
      <alignment horizontal="center" vertical="top" wrapText="1"/>
    </xf>
    <xf numFmtId="49" fontId="11" fillId="0" borderId="10" xfId="0" applyNumberFormat="1" applyFont="1" applyFill="1" applyBorder="1" applyAlignment="1">
      <alignment horizontal="center" vertical="center" wrapText="1"/>
    </xf>
    <xf numFmtId="0" fontId="3" fillId="0" borderId="18" xfId="0" applyFont="1" applyFill="1" applyBorder="1" applyAlignment="1">
      <alignment horizontal="left" vertical="center" wrapText="1"/>
    </xf>
    <xf numFmtId="0" fontId="3" fillId="0" borderId="26" xfId="0" applyFont="1" applyFill="1" applyBorder="1" applyAlignment="1">
      <alignment horizontal="left" vertical="center" wrapText="1"/>
    </xf>
    <xf numFmtId="0" fontId="3" fillId="0" borderId="11" xfId="0" applyFont="1" applyFill="1" applyBorder="1" applyAlignment="1">
      <alignment horizontal="left" vertical="center" wrapText="1"/>
    </xf>
    <xf numFmtId="49" fontId="11" fillId="0" borderId="10" xfId="0" applyNumberFormat="1" applyFont="1" applyBorder="1" applyAlignment="1">
      <alignment horizontal="center" vertical="justify" wrapText="1"/>
    </xf>
    <xf numFmtId="49" fontId="11" fillId="0" borderId="12" xfId="0" applyNumberFormat="1" applyFont="1" applyBorder="1" applyAlignment="1">
      <alignment horizontal="center" vertical="justify" wrapText="1"/>
    </xf>
    <xf numFmtId="49" fontId="11" fillId="0" borderId="27" xfId="0" applyNumberFormat="1" applyFont="1" applyBorder="1" applyAlignment="1">
      <alignment horizontal="center" vertical="justify" wrapText="1"/>
    </xf>
    <xf numFmtId="49" fontId="11" fillId="0" borderId="13" xfId="0" applyNumberFormat="1" applyFont="1" applyBorder="1" applyAlignment="1">
      <alignment horizontal="center" vertical="justify" wrapText="1"/>
    </xf>
    <xf numFmtId="0" fontId="27" fillId="0" borderId="10" xfId="0" applyFont="1" applyFill="1" applyBorder="1" applyAlignment="1">
      <alignment horizontal="center" vertical="justify" wrapText="1"/>
    </xf>
    <xf numFmtId="49" fontId="27" fillId="0" borderId="25" xfId="0" applyNumberFormat="1" applyFont="1" applyBorder="1" applyAlignment="1">
      <alignment horizontal="center" vertical="justify" wrapText="1"/>
    </xf>
    <xf numFmtId="49" fontId="27" fillId="0" borderId="27" xfId="0" applyNumberFormat="1" applyFont="1" applyBorder="1" applyAlignment="1">
      <alignment horizontal="center" vertical="justify" wrapText="1"/>
    </xf>
    <xf numFmtId="49" fontId="27" fillId="0" borderId="23" xfId="0" applyNumberFormat="1" applyFont="1" applyBorder="1" applyAlignment="1">
      <alignment horizontal="center" vertical="justify" wrapText="1"/>
    </xf>
    <xf numFmtId="0" fontId="11" fillId="21" borderId="18" xfId="0" applyFont="1" applyFill="1" applyBorder="1" applyAlignment="1">
      <alignment horizontal="center" vertical="center"/>
    </xf>
    <xf numFmtId="0" fontId="11" fillId="21" borderId="26" xfId="0" applyFont="1" applyFill="1" applyBorder="1" applyAlignment="1">
      <alignment horizontal="center" vertical="center"/>
    </xf>
    <xf numFmtId="0" fontId="11" fillId="21" borderId="11" xfId="0" applyFont="1" applyFill="1" applyBorder="1" applyAlignment="1">
      <alignment horizontal="center" vertical="center"/>
    </xf>
    <xf numFmtId="49" fontId="11" fillId="0" borderId="27" xfId="0" applyNumberFormat="1" applyFont="1" applyFill="1" applyBorder="1" applyAlignment="1">
      <alignment horizontal="center" vertical="top" wrapText="1"/>
    </xf>
    <xf numFmtId="49" fontId="11" fillId="0" borderId="25" xfId="0" applyNumberFormat="1" applyFont="1" applyFill="1" applyBorder="1" applyAlignment="1">
      <alignment horizontal="center" vertical="top" wrapText="1"/>
    </xf>
    <xf numFmtId="49" fontId="11" fillId="0" borderId="23" xfId="0" applyNumberFormat="1" applyFont="1" applyFill="1" applyBorder="1" applyAlignment="1">
      <alignment horizontal="center" vertical="top" wrapText="1"/>
    </xf>
    <xf numFmtId="0" fontId="16" fillId="0" borderId="12" xfId="0" applyFont="1" applyFill="1" applyBorder="1" applyAlignment="1">
      <alignment horizontal="left" vertical="center" wrapText="1"/>
    </xf>
    <xf numFmtId="0" fontId="16" fillId="0" borderId="13" xfId="0" applyFont="1" applyFill="1" applyBorder="1" applyAlignment="1">
      <alignment horizontal="left" vertical="center" wrapText="1"/>
    </xf>
    <xf numFmtId="180" fontId="16" fillId="0" borderId="12" xfId="0" applyNumberFormat="1" applyFont="1" applyFill="1" applyBorder="1" applyAlignment="1">
      <alignment horizontal="center" vertical="top" wrapText="1"/>
    </xf>
    <xf numFmtId="180" fontId="16" fillId="0" borderId="13" xfId="0" applyNumberFormat="1" applyFont="1" applyFill="1" applyBorder="1" applyAlignment="1">
      <alignment horizontal="center" vertical="top" wrapText="1"/>
    </xf>
    <xf numFmtId="49" fontId="11" fillId="0" borderId="12" xfId="0" applyNumberFormat="1" applyFont="1" applyFill="1" applyBorder="1" applyAlignment="1" applyProtection="1">
      <alignment horizontal="center" vertical="top"/>
      <protection/>
    </xf>
    <xf numFmtId="49" fontId="11" fillId="0" borderId="13" xfId="0" applyNumberFormat="1" applyFont="1" applyFill="1" applyBorder="1" applyAlignment="1" applyProtection="1">
      <alignment horizontal="center" vertical="top"/>
      <protection/>
    </xf>
    <xf numFmtId="49" fontId="11" fillId="0" borderId="27" xfId="0" applyNumberFormat="1" applyFont="1" applyFill="1" applyBorder="1" applyAlignment="1" applyProtection="1">
      <alignment horizontal="center" vertical="top"/>
      <protection/>
    </xf>
    <xf numFmtId="0" fontId="11" fillId="21" borderId="18" xfId="0" applyFont="1" applyFill="1" applyBorder="1" applyAlignment="1">
      <alignment horizontal="center" vertical="justify" wrapText="1"/>
    </xf>
    <xf numFmtId="0" fontId="11" fillId="21" borderId="11" xfId="0" applyFont="1" applyFill="1" applyBorder="1" applyAlignment="1">
      <alignment horizontal="center" vertical="justify" wrapText="1"/>
    </xf>
    <xf numFmtId="189" fontId="3" fillId="21" borderId="18" xfId="0" applyNumberFormat="1" applyFont="1" applyFill="1" applyBorder="1" applyAlignment="1">
      <alignment horizontal="left" vertical="center" wrapText="1"/>
    </xf>
    <xf numFmtId="189" fontId="3" fillId="21" borderId="26" xfId="0" applyNumberFormat="1" applyFont="1" applyFill="1" applyBorder="1" applyAlignment="1">
      <alignment horizontal="left" vertical="center" wrapText="1"/>
    </xf>
    <xf numFmtId="189" fontId="3" fillId="21" borderId="11" xfId="0" applyNumberFormat="1" applyFont="1" applyFill="1" applyBorder="1" applyAlignment="1">
      <alignment horizontal="left" vertical="center" wrapText="1"/>
    </xf>
    <xf numFmtId="189" fontId="25" fillId="0" borderId="26" xfId="0" applyNumberFormat="1" applyFont="1" applyFill="1" applyBorder="1" applyAlignment="1">
      <alignment horizontal="left" vertical="center" wrapText="1"/>
    </xf>
    <xf numFmtId="189" fontId="25" fillId="0" borderId="11" xfId="0" applyNumberFormat="1" applyFont="1" applyFill="1" applyBorder="1" applyAlignment="1">
      <alignment horizontal="left" vertical="center" wrapText="1"/>
    </xf>
    <xf numFmtId="1" fontId="16" fillId="0" borderId="12" xfId="79" applyNumberFormat="1" applyFont="1" applyFill="1" applyBorder="1" applyAlignment="1">
      <alignment horizontal="center" vertical="center" wrapText="1"/>
      <protection/>
    </xf>
    <xf numFmtId="1" fontId="16" fillId="0" borderId="13" xfId="79" applyNumberFormat="1" applyFont="1" applyFill="1" applyBorder="1" applyAlignment="1">
      <alignment horizontal="center" vertical="center" wrapText="1"/>
      <protection/>
    </xf>
    <xf numFmtId="49" fontId="11" fillId="0" borderId="12" xfId="0" applyNumberFormat="1" applyFont="1" applyFill="1" applyBorder="1" applyAlignment="1">
      <alignment horizontal="center" vertical="center" wrapText="1"/>
    </xf>
    <xf numFmtId="49" fontId="11" fillId="0" borderId="27" xfId="0" applyNumberFormat="1" applyFont="1" applyFill="1" applyBorder="1" applyAlignment="1">
      <alignment horizontal="center" vertical="center" wrapText="1"/>
    </xf>
    <xf numFmtId="49" fontId="11" fillId="0" borderId="13" xfId="0" applyNumberFormat="1" applyFont="1" applyFill="1" applyBorder="1" applyAlignment="1">
      <alignment horizontal="center" vertical="center" wrapText="1"/>
    </xf>
    <xf numFmtId="0" fontId="3" fillId="0" borderId="18" xfId="79" applyFont="1" applyBorder="1" applyAlignment="1">
      <alignment horizontal="center" vertical="center" wrapText="1"/>
      <protection/>
    </xf>
    <xf numFmtId="0" fontId="3" fillId="0" borderId="26" xfId="79" applyFont="1" applyBorder="1" applyAlignment="1">
      <alignment horizontal="center" vertical="center" wrapText="1"/>
      <protection/>
    </xf>
    <xf numFmtId="0" fontId="3" fillId="0" borderId="11" xfId="79" applyFont="1" applyBorder="1" applyAlignment="1">
      <alignment horizontal="center" vertical="center" wrapText="1"/>
      <protection/>
    </xf>
    <xf numFmtId="0" fontId="3" fillId="0" borderId="18" xfId="79" applyFont="1" applyFill="1" applyBorder="1" applyAlignment="1">
      <alignment horizontal="left" vertical="center" wrapText="1"/>
      <protection/>
    </xf>
    <xf numFmtId="0" fontId="3" fillId="0" borderId="26" xfId="79" applyFont="1" applyFill="1" applyBorder="1" applyAlignment="1">
      <alignment horizontal="left" vertical="center" wrapText="1"/>
      <protection/>
    </xf>
    <xf numFmtId="0" fontId="3" fillId="0" borderId="11" xfId="79" applyFont="1" applyFill="1" applyBorder="1" applyAlignment="1">
      <alignment horizontal="left" vertical="center" wrapText="1"/>
      <protection/>
    </xf>
    <xf numFmtId="1" fontId="3" fillId="0" borderId="18" xfId="0" applyNumberFormat="1" applyFont="1" applyFill="1" applyBorder="1" applyAlignment="1">
      <alignment horizontal="left" vertical="center"/>
    </xf>
    <xf numFmtId="1" fontId="3" fillId="0" borderId="26" xfId="0" applyNumberFormat="1" applyFont="1" applyFill="1" applyBorder="1" applyAlignment="1">
      <alignment horizontal="left" vertical="center"/>
    </xf>
    <xf numFmtId="1" fontId="3" fillId="0" borderId="11" xfId="0" applyNumberFormat="1" applyFont="1" applyFill="1" applyBorder="1" applyAlignment="1">
      <alignment horizontal="left" vertical="center"/>
    </xf>
    <xf numFmtId="189" fontId="25" fillId="0" borderId="18" xfId="0" applyNumberFormat="1" applyFont="1" applyBorder="1" applyAlignment="1">
      <alignment horizontal="left" vertical="center" wrapText="1"/>
    </xf>
    <xf numFmtId="189" fontId="25" fillId="0" borderId="26" xfId="0" applyNumberFormat="1" applyFont="1" applyBorder="1" applyAlignment="1">
      <alignment horizontal="left" vertical="center" wrapText="1"/>
    </xf>
    <xf numFmtId="189" fontId="25" fillId="0" borderId="11" xfId="0" applyNumberFormat="1" applyFont="1" applyBorder="1" applyAlignment="1">
      <alignment horizontal="left" vertical="center" wrapText="1"/>
    </xf>
    <xf numFmtId="189" fontId="3" fillId="21" borderId="18" xfId="0" applyNumberFormat="1" applyFont="1" applyFill="1" applyBorder="1" applyAlignment="1">
      <alignment horizontal="center" vertical="center" wrapText="1"/>
    </xf>
    <xf numFmtId="189" fontId="3" fillId="21" borderId="26" xfId="0" applyNumberFormat="1" applyFont="1" applyFill="1" applyBorder="1" applyAlignment="1">
      <alignment horizontal="center" vertical="center" wrapText="1"/>
    </xf>
    <xf numFmtId="189" fontId="3" fillId="21" borderId="11" xfId="0" applyNumberFormat="1" applyFont="1" applyFill="1" applyBorder="1" applyAlignment="1">
      <alignment horizontal="center" vertical="center" wrapText="1"/>
    </xf>
    <xf numFmtId="189" fontId="26" fillId="0" borderId="18" xfId="0" applyNumberFormat="1" applyFont="1" applyFill="1" applyBorder="1" applyAlignment="1">
      <alignment horizontal="left" vertical="center" wrapText="1"/>
    </xf>
    <xf numFmtId="189" fontId="26" fillId="0" borderId="26" xfId="0" applyNumberFormat="1" applyFont="1" applyFill="1" applyBorder="1" applyAlignment="1">
      <alignment horizontal="left" vertical="center" wrapText="1"/>
    </xf>
    <xf numFmtId="189" fontId="26" fillId="0" borderId="11" xfId="0" applyNumberFormat="1" applyFont="1" applyFill="1" applyBorder="1" applyAlignment="1">
      <alignment horizontal="left" vertical="center" wrapText="1"/>
    </xf>
  </cellXfs>
  <cellStyles count="8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Звичайний 10" xfId="49"/>
    <cellStyle name="Звичайний 11" xfId="50"/>
    <cellStyle name="Звичайний 12" xfId="51"/>
    <cellStyle name="Звичайний 13" xfId="52"/>
    <cellStyle name="Звичайний 14" xfId="53"/>
    <cellStyle name="Звичайний 15" xfId="54"/>
    <cellStyle name="Звичайний 16" xfId="55"/>
    <cellStyle name="Звичайний 17" xfId="56"/>
    <cellStyle name="Звичайний 18" xfId="57"/>
    <cellStyle name="Звичайний 19" xfId="58"/>
    <cellStyle name="Звичайний 2" xfId="59"/>
    <cellStyle name="Звичайний 20" xfId="60"/>
    <cellStyle name="Звичайний 3" xfId="61"/>
    <cellStyle name="Звичайний 4" xfId="62"/>
    <cellStyle name="Звичайний 5" xfId="63"/>
    <cellStyle name="Звичайний 6" xfId="64"/>
    <cellStyle name="Звичайний 7" xfId="65"/>
    <cellStyle name="Звичайний 8" xfId="66"/>
    <cellStyle name="Звичайний 9" xfId="67"/>
    <cellStyle name="Звичайний_Додаток _ 3 зм_ни 4575" xfId="68"/>
    <cellStyle name="Итог" xfId="69"/>
    <cellStyle name="Контрольная ячейка" xfId="70"/>
    <cellStyle name="Название" xfId="71"/>
    <cellStyle name="Нейтральный" xfId="72"/>
    <cellStyle name="Обычный 2" xfId="73"/>
    <cellStyle name="Обычный 2 2" xfId="74"/>
    <cellStyle name="Обычный 3 2" xfId="75"/>
    <cellStyle name="Обычный 4" xfId="76"/>
    <cellStyle name="Обычный 9 2" xfId="77"/>
    <cellStyle name="Обычный_дод 2-9" xfId="78"/>
    <cellStyle name="Обычный_дод 2-9_дод  2-10. з бюджетом розвитку" xfId="79"/>
    <cellStyle name="Обычный_дод 6 із заборг" xfId="80"/>
    <cellStyle name="Обычный_Закружецька_уточнення" xfId="81"/>
    <cellStyle name="Обычный_Лист3 (2)" xfId="82"/>
    <cellStyle name="Обычный_Освіти та гуманітарної політики" xfId="83"/>
    <cellStyle name="Обычный_Пропозиції КАЛЕНДАР на 2011 рік_Управління_соцполітики (Автосохраненный)" xfId="84"/>
    <cellStyle name="Обычный_СЕР на 2011 рік.xls Комфорт" xfId="85"/>
    <cellStyle name="Плохой" xfId="86"/>
    <cellStyle name="Пояснение" xfId="87"/>
    <cellStyle name="Примечание" xfId="88"/>
    <cellStyle name="Percent" xfId="89"/>
    <cellStyle name="Связанная ячейка" xfId="90"/>
    <cellStyle name="Стиль 1" xfId="91"/>
    <cellStyle name="Текст предупреждения" xfId="92"/>
    <cellStyle name="Comma" xfId="93"/>
    <cellStyle name="Comma [0]" xfId="94"/>
    <cellStyle name="Финансовый_дод 8 до бюджету 2012" xfId="95"/>
    <cellStyle name="Хороший" xfId="9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N881"/>
  <sheetViews>
    <sheetView tabSelected="1" zoomScale="85" zoomScaleNormal="85" zoomScalePageLayoutView="0" workbookViewId="0" topLeftCell="B2">
      <pane ySplit="1" topLeftCell="BM3" activePane="bottomLeft" state="frozen"/>
      <selection pane="topLeft" activeCell="B2" sqref="B2"/>
      <selection pane="bottomLeft" activeCell="T2" sqref="T1:V16384"/>
    </sheetView>
  </sheetViews>
  <sheetFormatPr defaultColWidth="9.16015625" defaultRowHeight="12.75"/>
  <cols>
    <col min="1" max="1" width="3.83203125" style="1" hidden="1" customWidth="1"/>
    <col min="2" max="2" width="18.16015625" style="5" bestFit="1" customWidth="1"/>
    <col min="3" max="3" width="18.33203125" style="4" bestFit="1" customWidth="1"/>
    <col min="4" max="4" width="33.66015625" style="1" customWidth="1"/>
    <col min="5" max="5" width="48.66015625" style="2" customWidth="1"/>
    <col min="6" max="6" width="18.33203125" style="1" hidden="1" customWidth="1"/>
    <col min="7" max="7" width="26.83203125" style="1" hidden="1" customWidth="1"/>
    <col min="8" max="8" width="27" style="1" hidden="1" customWidth="1"/>
    <col min="9" max="9" width="9.83203125" style="1" customWidth="1"/>
    <col min="10" max="10" width="19.5" style="44" customWidth="1"/>
    <col min="11" max="11" width="13.83203125" style="146" hidden="1" customWidth="1"/>
    <col min="12" max="13" width="17.66015625" style="146" hidden="1" customWidth="1"/>
    <col min="14" max="14" width="16.16015625" style="146" hidden="1" customWidth="1"/>
    <col min="15" max="18" width="17.66015625" style="146" hidden="1" customWidth="1"/>
    <col min="19" max="19" width="18.66015625" style="146" hidden="1" customWidth="1"/>
    <col min="20" max="20" width="17.66015625" style="146" hidden="1" customWidth="1"/>
    <col min="21" max="22" width="16.16015625" style="146" hidden="1" customWidth="1"/>
    <col min="23" max="23" width="23.83203125" style="3" customWidth="1"/>
    <col min="24" max="24" width="20.16015625" style="3" customWidth="1"/>
    <col min="25" max="16384" width="9.16015625" style="3" customWidth="1"/>
  </cols>
  <sheetData>
    <row r="1" spans="10:24" ht="12.75" hidden="1">
      <c r="J1" s="178"/>
      <c r="W1" s="146"/>
      <c r="X1" s="146"/>
    </row>
    <row r="2" spans="1:66" s="154" customFormat="1" ht="63" customHeight="1">
      <c r="A2" s="149" t="s">
        <v>563</v>
      </c>
      <c r="B2" s="347" t="s">
        <v>564</v>
      </c>
      <c r="C2" s="348"/>
      <c r="D2" s="348"/>
      <c r="E2" s="348"/>
      <c r="F2" s="348"/>
      <c r="G2" s="348"/>
      <c r="H2" s="348"/>
      <c r="I2" s="349"/>
      <c r="J2" s="150" t="s">
        <v>565</v>
      </c>
      <c r="K2" s="148" t="s">
        <v>566</v>
      </c>
      <c r="L2" s="148" t="s">
        <v>567</v>
      </c>
      <c r="M2" s="151" t="s">
        <v>568</v>
      </c>
      <c r="N2" s="151" t="s">
        <v>569</v>
      </c>
      <c r="O2" s="151" t="s">
        <v>570</v>
      </c>
      <c r="P2" s="151" t="s">
        <v>571</v>
      </c>
      <c r="Q2" s="151" t="s">
        <v>572</v>
      </c>
      <c r="R2" s="151" t="s">
        <v>447</v>
      </c>
      <c r="S2" s="151" t="s">
        <v>492</v>
      </c>
      <c r="T2" s="151" t="s">
        <v>493</v>
      </c>
      <c r="U2" s="151" t="s">
        <v>494</v>
      </c>
      <c r="V2" s="151" t="s">
        <v>495</v>
      </c>
      <c r="W2" s="152" t="s">
        <v>275</v>
      </c>
      <c r="X2" s="179"/>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c r="AZ2" s="153"/>
      <c r="BA2" s="153"/>
      <c r="BB2" s="153"/>
      <c r="BC2" s="153"/>
      <c r="BD2" s="153"/>
      <c r="BE2" s="153"/>
      <c r="BF2" s="153"/>
      <c r="BG2" s="153"/>
      <c r="BH2" s="153"/>
      <c r="BI2" s="153"/>
      <c r="BJ2" s="153"/>
      <c r="BK2" s="153"/>
      <c r="BL2" s="153"/>
      <c r="BM2" s="153"/>
      <c r="BN2" s="153"/>
    </row>
    <row r="3" spans="1:66" s="154" customFormat="1" ht="36.75" customHeight="1">
      <c r="A3" s="155">
        <v>31030000</v>
      </c>
      <c r="B3" s="356" t="s">
        <v>702</v>
      </c>
      <c r="C3" s="357"/>
      <c r="D3" s="357"/>
      <c r="E3" s="357"/>
      <c r="F3" s="357"/>
      <c r="G3" s="357"/>
      <c r="H3" s="357"/>
      <c r="I3" s="358"/>
      <c r="J3" s="156">
        <f>SUM(K3:V3)</f>
        <v>2500000</v>
      </c>
      <c r="K3" s="9"/>
      <c r="L3" s="9"/>
      <c r="M3" s="9"/>
      <c r="N3" s="9">
        <v>70000</v>
      </c>
      <c r="O3" s="9">
        <v>330000</v>
      </c>
      <c r="P3" s="9"/>
      <c r="Q3" s="9"/>
      <c r="R3" s="9">
        <v>600000</v>
      </c>
      <c r="S3" s="9">
        <v>600000</v>
      </c>
      <c r="T3" s="9"/>
      <c r="U3" s="9">
        <v>900000</v>
      </c>
      <c r="V3" s="9"/>
      <c r="W3" s="9">
        <f>83.51+3.37+3.94+14.17+14.17+14.17+33333.33+6.44+1.49+15.16+7.14+5.34+4.99+58202.17+2.92+2.87+2.1+1.89+2.24+13.02+1.33+102221.53+3.57+1.68+4.5+6.18+0.95+2.5+10.2+4.96+1.09+5.88+6.14+340690.12+6.14+58258.03+0.32+14.6+5.37+2.1+11.64+3.45+15.02+7.7+17+0.54+4.51+1.86+5.93+8.72+0.44+4.03+16.71+1.8+1.92+7.54+1.73+5.74+0.92+2.49+8.56+4.65+5.37</f>
        <v>593119.8900000001</v>
      </c>
      <c r="X3" s="157"/>
      <c r="Y3" s="158"/>
      <c r="Z3" s="158"/>
      <c r="AA3" s="158"/>
      <c r="AB3" s="158"/>
      <c r="AC3" s="158"/>
      <c r="AD3" s="158"/>
      <c r="AE3" s="158"/>
      <c r="AF3" s="158"/>
      <c r="AG3" s="159"/>
      <c r="AH3" s="159"/>
      <c r="AI3" s="159"/>
      <c r="AJ3" s="159"/>
      <c r="AK3" s="159"/>
      <c r="AL3" s="159"/>
      <c r="AM3" s="159"/>
      <c r="AN3" s="159"/>
      <c r="AO3" s="158"/>
      <c r="AP3" s="158"/>
      <c r="AQ3" s="158"/>
      <c r="AR3" s="159"/>
      <c r="AS3" s="159"/>
      <c r="AT3" s="159"/>
      <c r="AU3" s="159"/>
      <c r="AV3" s="159"/>
      <c r="AW3" s="159"/>
      <c r="AX3" s="159"/>
      <c r="AY3" s="159"/>
      <c r="AZ3" s="159"/>
      <c r="BA3" s="158"/>
      <c r="BB3" s="158"/>
      <c r="BC3" s="159"/>
      <c r="BD3" s="159"/>
      <c r="BE3" s="159"/>
      <c r="BF3" s="159"/>
      <c r="BG3" s="159"/>
      <c r="BH3" s="159"/>
      <c r="BI3" s="159"/>
      <c r="BJ3" s="159"/>
      <c r="BK3" s="159"/>
      <c r="BL3" s="159"/>
      <c r="BM3" s="159"/>
      <c r="BN3" s="159"/>
    </row>
    <row r="4" spans="1:66" s="154" customFormat="1" ht="18.75" customHeight="1">
      <c r="A4" s="155">
        <v>33000000</v>
      </c>
      <c r="B4" s="356" t="s">
        <v>214</v>
      </c>
      <c r="C4" s="357"/>
      <c r="D4" s="357"/>
      <c r="E4" s="357"/>
      <c r="F4" s="357"/>
      <c r="G4" s="357"/>
      <c r="H4" s="357"/>
      <c r="I4" s="358"/>
      <c r="J4" s="156">
        <f>SUM(K4:V4)</f>
        <v>11576000</v>
      </c>
      <c r="K4" s="9">
        <v>259698</v>
      </c>
      <c r="L4" s="9">
        <v>96280</v>
      </c>
      <c r="M4" s="9">
        <v>182150</v>
      </c>
      <c r="N4" s="9">
        <v>960850</v>
      </c>
      <c r="O4" s="9">
        <v>564680</v>
      </c>
      <c r="P4" s="9">
        <v>436040</v>
      </c>
      <c r="Q4" s="9">
        <v>1213060</v>
      </c>
      <c r="R4" s="9">
        <v>1020680</v>
      </c>
      <c r="S4" s="9">
        <v>728720</v>
      </c>
      <c r="T4" s="9">
        <v>1273820</v>
      </c>
      <c r="U4" s="9">
        <v>1024750</v>
      </c>
      <c r="V4" s="9">
        <v>3815272</v>
      </c>
      <c r="W4" s="9">
        <f>1984185.93+2150+50146.77+44775.5+6558+379691.64+45636.88+645446.65+24212.89+74276+5759+43525+43487.78+2150+9000+108879.56+93793+16087+117503.27+2150+43403.56+9000+6826.5+24066.64+45972+119590+2150+4336+32874.1+2510016+624987+2150+24423.21+9000+53875</f>
        <v>7212084.88</v>
      </c>
      <c r="X4" s="157"/>
      <c r="Y4" s="158"/>
      <c r="Z4" s="158"/>
      <c r="AA4" s="158"/>
      <c r="AB4" s="158"/>
      <c r="AC4" s="158"/>
      <c r="AD4" s="158"/>
      <c r="AE4" s="158"/>
      <c r="AF4" s="158"/>
      <c r="AG4" s="159"/>
      <c r="AH4" s="159"/>
      <c r="AI4" s="159"/>
      <c r="AJ4" s="159"/>
      <c r="AK4" s="159"/>
      <c r="AL4" s="159"/>
      <c r="AM4" s="159"/>
      <c r="AN4" s="159"/>
      <c r="AO4" s="158"/>
      <c r="AP4" s="158"/>
      <c r="AQ4" s="158"/>
      <c r="AR4" s="159"/>
      <c r="AS4" s="159"/>
      <c r="AT4" s="159"/>
      <c r="AU4" s="159"/>
      <c r="AV4" s="159"/>
      <c r="AW4" s="159"/>
      <c r="AX4" s="159"/>
      <c r="AY4" s="159"/>
      <c r="AZ4" s="159"/>
      <c r="BA4" s="158"/>
      <c r="BB4" s="158"/>
      <c r="BC4" s="159"/>
      <c r="BD4" s="159"/>
      <c r="BE4" s="159"/>
      <c r="BF4" s="159"/>
      <c r="BG4" s="159"/>
      <c r="BH4" s="159"/>
      <c r="BI4" s="159"/>
      <c r="BJ4" s="159"/>
      <c r="BK4" s="159"/>
      <c r="BL4" s="159"/>
      <c r="BM4" s="159"/>
      <c r="BN4" s="159"/>
    </row>
    <row r="5" spans="1:66" s="154" customFormat="1" ht="42.75" customHeight="1">
      <c r="A5" s="161">
        <v>24170000</v>
      </c>
      <c r="B5" s="356" t="s">
        <v>215</v>
      </c>
      <c r="C5" s="357"/>
      <c r="D5" s="357"/>
      <c r="E5" s="357"/>
      <c r="F5" s="357"/>
      <c r="G5" s="357"/>
      <c r="H5" s="357"/>
      <c r="I5" s="358"/>
      <c r="J5" s="156">
        <f>SUM(K5:V5)</f>
        <v>3000000</v>
      </c>
      <c r="K5" s="9"/>
      <c r="L5" s="9">
        <v>148100</v>
      </c>
      <c r="M5" s="9">
        <v>148100</v>
      </c>
      <c r="N5" s="9">
        <v>148100</v>
      </c>
      <c r="O5" s="9">
        <v>148100</v>
      </c>
      <c r="P5" s="9">
        <v>148100</v>
      </c>
      <c r="Q5" s="9">
        <v>148100</v>
      </c>
      <c r="R5" s="9">
        <v>148100</v>
      </c>
      <c r="S5" s="9">
        <v>148100</v>
      </c>
      <c r="T5" s="9">
        <v>148100</v>
      </c>
      <c r="U5" s="9">
        <v>148100</v>
      </c>
      <c r="V5" s="9">
        <v>1519000</v>
      </c>
      <c r="W5" s="9">
        <f>1667982.6+217.81+219.81+149998+219.81+20000+219.81+219.81+20000+20000+439.62</f>
        <v>1879517.2700000005</v>
      </c>
      <c r="X5" s="157"/>
      <c r="Y5" s="158"/>
      <c r="Z5" s="158"/>
      <c r="AA5" s="158"/>
      <c r="AB5" s="158"/>
      <c r="AC5" s="158"/>
      <c r="AD5" s="158"/>
      <c r="AE5" s="158"/>
      <c r="AF5" s="158"/>
      <c r="AG5" s="159"/>
      <c r="AH5" s="159"/>
      <c r="AI5" s="159"/>
      <c r="AJ5" s="159"/>
      <c r="AK5" s="159"/>
      <c r="AL5" s="159"/>
      <c r="AM5" s="159"/>
      <c r="AN5" s="159"/>
      <c r="AO5" s="158"/>
      <c r="AP5" s="158"/>
      <c r="AQ5" s="158"/>
      <c r="AR5" s="159"/>
      <c r="AS5" s="159"/>
      <c r="AT5" s="159"/>
      <c r="AU5" s="159"/>
      <c r="AV5" s="159"/>
      <c r="AW5" s="159"/>
      <c r="AX5" s="159"/>
      <c r="AY5" s="159"/>
      <c r="AZ5" s="159"/>
      <c r="BA5" s="158"/>
      <c r="BB5" s="158"/>
      <c r="BC5" s="159"/>
      <c r="BD5" s="159"/>
      <c r="BE5" s="159"/>
      <c r="BF5" s="159"/>
      <c r="BG5" s="159"/>
      <c r="BH5" s="159"/>
      <c r="BI5" s="159"/>
      <c r="BJ5" s="159"/>
      <c r="BK5" s="159"/>
      <c r="BL5" s="159"/>
      <c r="BM5" s="159"/>
      <c r="BN5" s="159"/>
    </row>
    <row r="6" spans="1:66" s="167" customFormat="1" ht="18.75" customHeight="1">
      <c r="A6" s="162"/>
      <c r="B6" s="359" t="s">
        <v>496</v>
      </c>
      <c r="C6" s="360"/>
      <c r="D6" s="360"/>
      <c r="E6" s="360"/>
      <c r="F6" s="360"/>
      <c r="G6" s="360"/>
      <c r="H6" s="360"/>
      <c r="I6" s="361"/>
      <c r="J6" s="163">
        <f>SUM(K6:V6)</f>
        <v>17076000</v>
      </c>
      <c r="K6" s="144">
        <f aca="true" t="shared" si="0" ref="K6:W6">SUM(K3:K5)</f>
        <v>259698</v>
      </c>
      <c r="L6" s="144">
        <f t="shared" si="0"/>
        <v>244380</v>
      </c>
      <c r="M6" s="144">
        <f t="shared" si="0"/>
        <v>330250</v>
      </c>
      <c r="N6" s="144">
        <f t="shared" si="0"/>
        <v>1178950</v>
      </c>
      <c r="O6" s="144">
        <f t="shared" si="0"/>
        <v>1042780</v>
      </c>
      <c r="P6" s="144">
        <f t="shared" si="0"/>
        <v>584140</v>
      </c>
      <c r="Q6" s="144">
        <f t="shared" si="0"/>
        <v>1361160</v>
      </c>
      <c r="R6" s="144">
        <f t="shared" si="0"/>
        <v>1768780</v>
      </c>
      <c r="S6" s="144">
        <f t="shared" si="0"/>
        <v>1476820</v>
      </c>
      <c r="T6" s="144">
        <f t="shared" si="0"/>
        <v>1421920</v>
      </c>
      <c r="U6" s="144">
        <f t="shared" si="0"/>
        <v>2072850</v>
      </c>
      <c r="V6" s="144">
        <f t="shared" si="0"/>
        <v>5334272</v>
      </c>
      <c r="W6" s="144">
        <f t="shared" si="0"/>
        <v>9684722.04</v>
      </c>
      <c r="X6" s="164"/>
      <c r="Y6" s="165"/>
      <c r="Z6" s="165"/>
      <c r="AA6" s="165"/>
      <c r="AB6" s="165"/>
      <c r="AC6" s="165"/>
      <c r="AD6" s="165"/>
      <c r="AE6" s="165"/>
      <c r="AF6" s="165"/>
      <c r="AG6" s="166"/>
      <c r="AH6" s="166"/>
      <c r="AI6" s="166"/>
      <c r="AJ6" s="166"/>
      <c r="AK6" s="166"/>
      <c r="AL6" s="166"/>
      <c r="AM6" s="166"/>
      <c r="AN6" s="166"/>
      <c r="AO6" s="165"/>
      <c r="AP6" s="165"/>
      <c r="AQ6" s="165"/>
      <c r="AR6" s="166"/>
      <c r="AS6" s="166"/>
      <c r="AT6" s="166"/>
      <c r="AU6" s="166"/>
      <c r="AV6" s="166"/>
      <c r="AW6" s="166"/>
      <c r="AX6" s="166"/>
      <c r="AY6" s="166"/>
      <c r="AZ6" s="166"/>
      <c r="BA6" s="166"/>
      <c r="BB6" s="166"/>
      <c r="BC6" s="166"/>
      <c r="BD6" s="166"/>
      <c r="BE6" s="166"/>
      <c r="BF6" s="166"/>
      <c r="BG6" s="166"/>
      <c r="BH6" s="166"/>
      <c r="BI6" s="166"/>
      <c r="BJ6" s="166"/>
      <c r="BK6" s="166"/>
      <c r="BL6" s="166"/>
      <c r="BM6" s="166"/>
      <c r="BN6" s="166"/>
    </row>
    <row r="7" spans="1:66" s="169" customFormat="1" ht="38.25" customHeight="1">
      <c r="A7" s="160">
        <v>208400</v>
      </c>
      <c r="B7" s="287" t="s">
        <v>216</v>
      </c>
      <c r="C7" s="340"/>
      <c r="D7" s="340"/>
      <c r="E7" s="340"/>
      <c r="F7" s="340"/>
      <c r="G7" s="340"/>
      <c r="H7" s="340"/>
      <c r="I7" s="341"/>
      <c r="J7" s="156">
        <f>91632102.35+248250+2500000+15600+14434+4358-27000+978255.41+13590138.53-3630959-167000+8580000+179200</f>
        <v>113917379.28999999</v>
      </c>
      <c r="K7" s="9"/>
      <c r="L7" s="9"/>
      <c r="M7" s="9">
        <v>0</v>
      </c>
      <c r="N7" s="9">
        <f>P834</f>
        <v>0</v>
      </c>
      <c r="O7" s="9">
        <f>Q834</f>
        <v>0</v>
      </c>
      <c r="P7" s="9">
        <f>4358+274531.81+18754.7</f>
        <v>297644.51</v>
      </c>
      <c r="Q7" s="9">
        <f>-27000</f>
        <v>-27000</v>
      </c>
      <c r="R7" s="9">
        <f>285418</f>
        <v>285418</v>
      </c>
      <c r="S7" s="9">
        <f>U834</f>
        <v>0</v>
      </c>
      <c r="T7" s="9">
        <f>V834</f>
        <v>0</v>
      </c>
      <c r="U7" s="9">
        <f>9550.9+390000</f>
        <v>399550.9</v>
      </c>
      <c r="V7" s="9">
        <f>X834</f>
        <v>50000</v>
      </c>
      <c r="W7" s="9">
        <f>500878.57+20883789.29+13803976.79+7506813.9+1188+2189400+1188+1247644.51+22646.7+28851.3+18786615.38+13748459.7+35243.6+1584+10000000+5000000+2324380.75+29921.9+7494419.5+32123.7+700000+880000+366400+133000+650000+1431000+4419600+54722.5</f>
        <v>112273848.09</v>
      </c>
      <c r="X7" s="168"/>
      <c r="Y7" s="158"/>
      <c r="Z7" s="158"/>
      <c r="AA7" s="158"/>
      <c r="AB7" s="158"/>
      <c r="AC7" s="158"/>
      <c r="AD7" s="158"/>
      <c r="AE7" s="158"/>
      <c r="AF7" s="158"/>
      <c r="AG7" s="159"/>
      <c r="AH7" s="159"/>
      <c r="AI7" s="159"/>
      <c r="AJ7" s="159"/>
      <c r="AK7" s="159"/>
      <c r="AL7" s="159"/>
      <c r="AM7" s="159"/>
      <c r="AN7" s="159"/>
      <c r="AO7" s="158"/>
      <c r="AP7" s="158"/>
      <c r="AQ7" s="158"/>
      <c r="AR7" s="159"/>
      <c r="AS7" s="159"/>
      <c r="AT7" s="159"/>
      <c r="AU7" s="159"/>
      <c r="AV7" s="159"/>
      <c r="AW7" s="159"/>
      <c r="AX7" s="159"/>
      <c r="AY7" s="159"/>
      <c r="AZ7" s="159"/>
      <c r="BA7" s="159"/>
      <c r="BB7" s="159"/>
      <c r="BC7" s="159"/>
      <c r="BD7" s="159"/>
      <c r="BE7" s="159"/>
      <c r="BF7" s="159"/>
      <c r="BG7" s="159"/>
      <c r="BH7" s="159"/>
      <c r="BI7" s="159"/>
      <c r="BJ7" s="159"/>
      <c r="BK7" s="159"/>
      <c r="BL7" s="159"/>
      <c r="BM7" s="159"/>
      <c r="BN7" s="159"/>
    </row>
    <row r="8" spans="1:66" s="169" customFormat="1" ht="18.75">
      <c r="A8" s="160"/>
      <c r="B8" s="287" t="s">
        <v>549</v>
      </c>
      <c r="C8" s="288"/>
      <c r="D8" s="288"/>
      <c r="E8" s="288"/>
      <c r="F8" s="288"/>
      <c r="G8" s="288"/>
      <c r="H8" s="288"/>
      <c r="I8" s="289"/>
      <c r="J8" s="156">
        <v>2736000</v>
      </c>
      <c r="K8" s="9"/>
      <c r="L8" s="9"/>
      <c r="M8" s="9"/>
      <c r="N8" s="9"/>
      <c r="O8" s="9"/>
      <c r="P8" s="9"/>
      <c r="Q8" s="9"/>
      <c r="R8" s="9"/>
      <c r="S8" s="9"/>
      <c r="T8" s="9"/>
      <c r="U8" s="9"/>
      <c r="V8" s="9"/>
      <c r="W8" s="9"/>
      <c r="X8" s="168"/>
      <c r="Y8" s="158"/>
      <c r="Z8" s="158"/>
      <c r="AA8" s="158"/>
      <c r="AB8" s="158"/>
      <c r="AC8" s="158"/>
      <c r="AD8" s="158"/>
      <c r="AE8" s="158"/>
      <c r="AF8" s="158"/>
      <c r="AG8" s="159"/>
      <c r="AH8" s="159"/>
      <c r="AI8" s="159"/>
      <c r="AJ8" s="159"/>
      <c r="AK8" s="159"/>
      <c r="AL8" s="159"/>
      <c r="AM8" s="159"/>
      <c r="AN8" s="159"/>
      <c r="AO8" s="158"/>
      <c r="AP8" s="158"/>
      <c r="AQ8" s="158"/>
      <c r="AR8" s="159"/>
      <c r="AS8" s="159"/>
      <c r="AT8" s="159"/>
      <c r="AU8" s="159"/>
      <c r="AV8" s="159"/>
      <c r="AW8" s="159"/>
      <c r="AX8" s="159"/>
      <c r="AY8" s="159"/>
      <c r="AZ8" s="159"/>
      <c r="BA8" s="159"/>
      <c r="BB8" s="159"/>
      <c r="BC8" s="159"/>
      <c r="BD8" s="159"/>
      <c r="BE8" s="159"/>
      <c r="BF8" s="159"/>
      <c r="BG8" s="159"/>
      <c r="BH8" s="159"/>
      <c r="BI8" s="159"/>
      <c r="BJ8" s="159"/>
      <c r="BK8" s="159"/>
      <c r="BL8" s="159"/>
      <c r="BM8" s="159"/>
      <c r="BN8" s="159"/>
    </row>
    <row r="9" spans="1:66" s="169" customFormat="1" ht="37.5" customHeight="1">
      <c r="A9" s="160">
        <v>41035000</v>
      </c>
      <c r="B9" s="287" t="s">
        <v>217</v>
      </c>
      <c r="C9" s="340"/>
      <c r="D9" s="340"/>
      <c r="E9" s="340"/>
      <c r="F9" s="340"/>
      <c r="G9" s="340"/>
      <c r="H9" s="340"/>
      <c r="I9" s="341"/>
      <c r="J9" s="156">
        <f>SUM(K9:V9)</f>
        <v>1048039</v>
      </c>
      <c r="K9" s="9"/>
      <c r="L9" s="9"/>
      <c r="M9" s="9">
        <v>562839</v>
      </c>
      <c r="N9" s="9">
        <v>64800</v>
      </c>
      <c r="O9" s="9">
        <v>104800</v>
      </c>
      <c r="P9" s="9">
        <f>85600+60000</f>
        <v>145600</v>
      </c>
      <c r="Q9" s="9"/>
      <c r="R9" s="9"/>
      <c r="S9" s="9">
        <v>150000</v>
      </c>
      <c r="T9" s="9">
        <v>20000</v>
      </c>
      <c r="U9" s="9"/>
      <c r="V9" s="9"/>
      <c r="W9" s="9">
        <f>413000+155339+2371.2+5000+68000+7700+25000+5532.8+107705.3+60000+150000+14293</f>
        <v>1013941.3</v>
      </c>
      <c r="X9" s="168"/>
      <c r="Y9" s="158"/>
      <c r="Z9" s="158"/>
      <c r="AA9" s="158"/>
      <c r="AB9" s="158"/>
      <c r="AC9" s="158"/>
      <c r="AD9" s="158"/>
      <c r="AE9" s="158"/>
      <c r="AF9" s="158"/>
      <c r="AG9" s="159"/>
      <c r="AH9" s="159"/>
      <c r="AI9" s="159"/>
      <c r="AJ9" s="159"/>
      <c r="AK9" s="159"/>
      <c r="AL9" s="159"/>
      <c r="AM9" s="159"/>
      <c r="AN9" s="159"/>
      <c r="AO9" s="158"/>
      <c r="AP9" s="158"/>
      <c r="AQ9" s="158"/>
      <c r="AR9" s="159"/>
      <c r="AS9" s="159"/>
      <c r="AT9" s="159"/>
      <c r="AU9" s="159"/>
      <c r="AV9" s="159"/>
      <c r="AW9" s="159"/>
      <c r="AX9" s="159"/>
      <c r="AY9" s="159"/>
      <c r="AZ9" s="159"/>
      <c r="BA9" s="159"/>
      <c r="BB9" s="159"/>
      <c r="BC9" s="159"/>
      <c r="BD9" s="159"/>
      <c r="BE9" s="159"/>
      <c r="BF9" s="159"/>
      <c r="BG9" s="159"/>
      <c r="BH9" s="159"/>
      <c r="BI9" s="159"/>
      <c r="BJ9" s="159"/>
      <c r="BK9" s="159"/>
      <c r="BL9" s="159"/>
      <c r="BM9" s="159"/>
      <c r="BN9" s="159"/>
    </row>
    <row r="10" spans="1:66" s="169" customFormat="1" ht="42" customHeight="1">
      <c r="A10" s="160">
        <v>41035000</v>
      </c>
      <c r="B10" s="362" t="s">
        <v>227</v>
      </c>
      <c r="C10" s="363"/>
      <c r="D10" s="363"/>
      <c r="E10" s="363"/>
      <c r="F10" s="363"/>
      <c r="G10" s="363"/>
      <c r="H10" s="363"/>
      <c r="I10" s="364"/>
      <c r="J10" s="156">
        <f>SUM(K10:V10)</f>
        <v>25000</v>
      </c>
      <c r="K10" s="9"/>
      <c r="L10" s="9"/>
      <c r="M10" s="9"/>
      <c r="N10" s="9">
        <v>25000</v>
      </c>
      <c r="O10" s="9"/>
      <c r="P10" s="9"/>
      <c r="Q10" s="9"/>
      <c r="R10" s="9"/>
      <c r="S10" s="9"/>
      <c r="T10" s="9"/>
      <c r="U10" s="9"/>
      <c r="V10" s="9"/>
      <c r="W10" s="9"/>
      <c r="X10" s="168"/>
      <c r="Y10" s="158"/>
      <c r="Z10" s="158"/>
      <c r="AA10" s="158"/>
      <c r="AB10" s="158"/>
      <c r="AC10" s="158"/>
      <c r="AD10" s="158"/>
      <c r="AE10" s="158"/>
      <c r="AF10" s="158"/>
      <c r="AG10" s="159"/>
      <c r="AH10" s="159"/>
      <c r="AI10" s="159"/>
      <c r="AJ10" s="159"/>
      <c r="AK10" s="159"/>
      <c r="AL10" s="159"/>
      <c r="AM10" s="159"/>
      <c r="AN10" s="159"/>
      <c r="AO10" s="158"/>
      <c r="AP10" s="158"/>
      <c r="AQ10" s="158"/>
      <c r="AR10" s="159"/>
      <c r="AS10" s="159"/>
      <c r="AT10" s="159"/>
      <c r="AU10" s="159"/>
      <c r="AV10" s="159"/>
      <c r="AW10" s="159"/>
      <c r="AX10" s="159"/>
      <c r="AY10" s="159"/>
      <c r="AZ10" s="159"/>
      <c r="BA10" s="159"/>
      <c r="BB10" s="159"/>
      <c r="BC10" s="159"/>
      <c r="BD10" s="159"/>
      <c r="BE10" s="159"/>
      <c r="BF10" s="159"/>
      <c r="BG10" s="159"/>
      <c r="BH10" s="159"/>
      <c r="BI10" s="159"/>
      <c r="BJ10" s="159"/>
      <c r="BK10" s="159"/>
      <c r="BL10" s="159"/>
      <c r="BM10" s="159"/>
      <c r="BN10" s="159"/>
    </row>
    <row r="11" spans="1:66" s="167" customFormat="1" ht="18.75" customHeight="1">
      <c r="A11" s="162"/>
      <c r="B11" s="337" t="s">
        <v>497</v>
      </c>
      <c r="C11" s="338"/>
      <c r="D11" s="338"/>
      <c r="E11" s="338"/>
      <c r="F11" s="338"/>
      <c r="G11" s="338"/>
      <c r="H11" s="338"/>
      <c r="I11" s="339"/>
      <c r="J11" s="163">
        <f>J6+J7+J9+J10+J8</f>
        <v>134802418.29</v>
      </c>
      <c r="K11" s="163">
        <f aca="true" t="shared" si="1" ref="K11:W11">K6+K7+K9+K10+K8</f>
        <v>259698</v>
      </c>
      <c r="L11" s="163">
        <f t="shared" si="1"/>
        <v>244380</v>
      </c>
      <c r="M11" s="163">
        <f t="shared" si="1"/>
        <v>893089</v>
      </c>
      <c r="N11" s="163">
        <f t="shared" si="1"/>
        <v>1268750</v>
      </c>
      <c r="O11" s="163">
        <f t="shared" si="1"/>
        <v>1147580</v>
      </c>
      <c r="P11" s="163">
        <f t="shared" si="1"/>
        <v>1027384.51</v>
      </c>
      <c r="Q11" s="163">
        <f t="shared" si="1"/>
        <v>1334160</v>
      </c>
      <c r="R11" s="163">
        <f t="shared" si="1"/>
        <v>2054198</v>
      </c>
      <c r="S11" s="163">
        <f t="shared" si="1"/>
        <v>1626820</v>
      </c>
      <c r="T11" s="163">
        <f t="shared" si="1"/>
        <v>1441920</v>
      </c>
      <c r="U11" s="163">
        <f t="shared" si="1"/>
        <v>2472400.9</v>
      </c>
      <c r="V11" s="163">
        <f t="shared" si="1"/>
        <v>5384272</v>
      </c>
      <c r="W11" s="163">
        <f t="shared" si="1"/>
        <v>122972511.42999999</v>
      </c>
      <c r="X11" s="164"/>
      <c r="Y11" s="165"/>
      <c r="Z11" s="165"/>
      <c r="AA11" s="165"/>
      <c r="AB11" s="165"/>
      <c r="AC11" s="165"/>
      <c r="AD11" s="165"/>
      <c r="AE11" s="165"/>
      <c r="AF11" s="165"/>
      <c r="AG11" s="166"/>
      <c r="AH11" s="166"/>
      <c r="AI11" s="166"/>
      <c r="AJ11" s="166"/>
      <c r="AK11" s="166"/>
      <c r="AL11" s="166"/>
      <c r="AM11" s="166"/>
      <c r="AN11" s="166"/>
      <c r="AO11" s="165"/>
      <c r="AP11" s="165"/>
      <c r="AQ11" s="165"/>
      <c r="AR11" s="166"/>
      <c r="AS11" s="166"/>
      <c r="AT11" s="166"/>
      <c r="AU11" s="166"/>
      <c r="AV11" s="166"/>
      <c r="AW11" s="166"/>
      <c r="AX11" s="166"/>
      <c r="AY11" s="166"/>
      <c r="AZ11" s="166"/>
      <c r="BA11" s="166"/>
      <c r="BB11" s="166"/>
      <c r="BC11" s="166"/>
      <c r="BD11" s="166"/>
      <c r="BE11" s="166"/>
      <c r="BF11" s="166"/>
      <c r="BG11" s="166"/>
      <c r="BH11" s="166"/>
      <c r="BI11" s="166"/>
      <c r="BJ11" s="166"/>
      <c r="BK11" s="166"/>
      <c r="BL11" s="166"/>
      <c r="BM11" s="166"/>
      <c r="BN11" s="166"/>
    </row>
    <row r="12" spans="1:62" s="154" customFormat="1" ht="18.75">
      <c r="A12" s="170"/>
      <c r="B12" s="353" t="s">
        <v>498</v>
      </c>
      <c r="C12" s="354"/>
      <c r="D12" s="354"/>
      <c r="E12" s="354"/>
      <c r="F12" s="354"/>
      <c r="G12" s="354"/>
      <c r="H12" s="354"/>
      <c r="I12" s="355"/>
      <c r="J12" s="37">
        <v>123712795.5</v>
      </c>
      <c r="K12" s="171"/>
      <c r="L12" s="171"/>
      <c r="M12" s="180"/>
      <c r="N12" s="180"/>
      <c r="O12" s="168"/>
      <c r="P12" s="168"/>
      <c r="Q12" s="168"/>
      <c r="R12" s="168"/>
      <c r="S12" s="168"/>
      <c r="T12" s="168"/>
      <c r="U12" s="168"/>
      <c r="V12" s="168"/>
      <c r="W12" s="168"/>
      <c r="X12" s="168"/>
      <c r="Y12" s="172"/>
      <c r="Z12" s="172"/>
      <c r="AA12" s="159"/>
      <c r="AB12" s="159"/>
      <c r="AC12" s="159"/>
      <c r="AD12" s="159"/>
      <c r="AE12" s="159"/>
      <c r="AF12" s="159"/>
      <c r="AG12" s="159"/>
      <c r="AH12" s="159"/>
      <c r="AI12" s="159"/>
      <c r="AJ12" s="159"/>
      <c r="AK12" s="159"/>
      <c r="AL12" s="159"/>
      <c r="AM12" s="159"/>
      <c r="AN12" s="159"/>
      <c r="AO12" s="159"/>
      <c r="AP12" s="159"/>
      <c r="AQ12" s="159"/>
      <c r="AR12" s="159"/>
      <c r="AS12" s="159"/>
      <c r="AT12" s="159"/>
      <c r="AU12" s="159"/>
      <c r="AV12" s="169"/>
      <c r="AW12" s="169"/>
      <c r="AX12" s="169"/>
      <c r="AY12" s="169"/>
      <c r="AZ12" s="169"/>
      <c r="BA12" s="169"/>
      <c r="BB12" s="169"/>
      <c r="BC12" s="169"/>
      <c r="BD12" s="169"/>
      <c r="BE12" s="169"/>
      <c r="BF12" s="169"/>
      <c r="BG12" s="169"/>
      <c r="BH12" s="169"/>
      <c r="BI12" s="169"/>
      <c r="BJ12" s="169"/>
    </row>
    <row r="13" spans="1:62" s="154" customFormat="1" ht="18.75" customHeight="1">
      <c r="A13" s="170"/>
      <c r="B13" s="350" t="s">
        <v>277</v>
      </c>
      <c r="C13" s="351"/>
      <c r="D13" s="351"/>
      <c r="E13" s="351"/>
      <c r="F13" s="351"/>
      <c r="G13" s="351"/>
      <c r="H13" s="351"/>
      <c r="I13" s="352"/>
      <c r="J13" s="37">
        <f>J12+W11-W881-J14</f>
        <v>54230.460000008345</v>
      </c>
      <c r="K13" s="171"/>
      <c r="L13" s="171"/>
      <c r="M13" s="181"/>
      <c r="N13" s="168"/>
      <c r="O13" s="168"/>
      <c r="P13" s="168"/>
      <c r="Q13" s="168"/>
      <c r="R13" s="168"/>
      <c r="S13" s="168"/>
      <c r="T13" s="168"/>
      <c r="U13" s="168"/>
      <c r="V13" s="168"/>
      <c r="W13" s="168"/>
      <c r="X13" s="168"/>
      <c r="Y13" s="172"/>
      <c r="Z13" s="172"/>
      <c r="AA13" s="159"/>
      <c r="AB13" s="159"/>
      <c r="AC13" s="159"/>
      <c r="AD13" s="159"/>
      <c r="AE13" s="159"/>
      <c r="AF13" s="159"/>
      <c r="AG13" s="159"/>
      <c r="AH13" s="159"/>
      <c r="AI13" s="159"/>
      <c r="AJ13" s="159"/>
      <c r="AK13" s="159"/>
      <c r="AL13" s="159"/>
      <c r="AM13" s="159"/>
      <c r="AN13" s="159"/>
      <c r="AO13" s="159"/>
      <c r="AP13" s="159"/>
      <c r="AQ13" s="159"/>
      <c r="AR13" s="159"/>
      <c r="AS13" s="159"/>
      <c r="AT13" s="159"/>
      <c r="AU13" s="159"/>
      <c r="AV13" s="169"/>
      <c r="AW13" s="169"/>
      <c r="AX13" s="169"/>
      <c r="AY13" s="169"/>
      <c r="AZ13" s="169"/>
      <c r="BA13" s="169"/>
      <c r="BB13" s="169"/>
      <c r="BC13" s="169"/>
      <c r="BD13" s="169"/>
      <c r="BE13" s="169"/>
      <c r="BF13" s="169"/>
      <c r="BG13" s="169"/>
      <c r="BH13" s="169"/>
      <c r="BI13" s="169"/>
      <c r="BJ13" s="169"/>
    </row>
    <row r="14" spans="1:62" s="154" customFormat="1" ht="18.75" customHeight="1">
      <c r="A14" s="170"/>
      <c r="B14" s="311" t="s">
        <v>278</v>
      </c>
      <c r="C14" s="312"/>
      <c r="D14" s="312"/>
      <c r="E14" s="312"/>
      <c r="F14" s="312"/>
      <c r="G14" s="312"/>
      <c r="H14" s="312"/>
      <c r="I14" s="313"/>
      <c r="J14" s="37">
        <f>50132318.17+85000000+31800508.45-5000000+8500000-1400000-630000-755000-5200000-1660000-2220000-229000-1900000-1110000-691000-1417000</f>
        <v>153220826.62</v>
      </c>
      <c r="K14" s="171"/>
      <c r="L14" s="171"/>
      <c r="M14" s="181"/>
      <c r="N14" s="168"/>
      <c r="O14" s="168"/>
      <c r="P14" s="168"/>
      <c r="Q14" s="168"/>
      <c r="R14" s="168"/>
      <c r="S14" s="168"/>
      <c r="T14" s="168"/>
      <c r="U14" s="168"/>
      <c r="V14" s="168"/>
      <c r="W14" s="168"/>
      <c r="X14" s="168"/>
      <c r="Y14" s="172"/>
      <c r="Z14" s="172"/>
      <c r="AA14" s="159"/>
      <c r="AB14" s="159"/>
      <c r="AC14" s="159"/>
      <c r="AD14" s="159"/>
      <c r="AE14" s="159"/>
      <c r="AF14" s="159"/>
      <c r="AG14" s="159"/>
      <c r="AH14" s="159"/>
      <c r="AI14" s="159"/>
      <c r="AJ14" s="159"/>
      <c r="AK14" s="159"/>
      <c r="AL14" s="159"/>
      <c r="AM14" s="159"/>
      <c r="AN14" s="159"/>
      <c r="AO14" s="159"/>
      <c r="AP14" s="159"/>
      <c r="AQ14" s="159"/>
      <c r="AR14" s="159"/>
      <c r="AS14" s="159"/>
      <c r="AT14" s="159"/>
      <c r="AU14" s="159"/>
      <c r="AV14" s="169"/>
      <c r="AW14" s="169"/>
      <c r="AX14" s="169"/>
      <c r="AY14" s="169"/>
      <c r="AZ14" s="169"/>
      <c r="BA14" s="169"/>
      <c r="BB14" s="169"/>
      <c r="BC14" s="169"/>
      <c r="BD14" s="169"/>
      <c r="BE14" s="169"/>
      <c r="BF14" s="169"/>
      <c r="BG14" s="169"/>
      <c r="BH14" s="169"/>
      <c r="BI14" s="169"/>
      <c r="BJ14" s="169"/>
    </row>
    <row r="15" spans="10:24" ht="12.75">
      <c r="J15" s="182"/>
      <c r="K15" s="183"/>
      <c r="L15" s="183"/>
      <c r="M15" s="183"/>
      <c r="N15" s="183"/>
      <c r="O15" s="183"/>
      <c r="P15" s="183"/>
      <c r="Q15" s="183"/>
      <c r="R15" s="183"/>
      <c r="S15" s="183"/>
      <c r="T15" s="183"/>
      <c r="U15" s="183"/>
      <c r="V15" s="183"/>
      <c r="W15" s="183"/>
      <c r="X15" s="183"/>
    </row>
    <row r="16" spans="1:24" ht="110.25">
      <c r="A16" s="6"/>
      <c r="B16" s="186" t="s">
        <v>700</v>
      </c>
      <c r="C16" s="187" t="s">
        <v>693</v>
      </c>
      <c r="D16" s="187" t="s">
        <v>619</v>
      </c>
      <c r="E16" s="174" t="s">
        <v>873</v>
      </c>
      <c r="F16" s="174" t="s">
        <v>695</v>
      </c>
      <c r="G16" s="174" t="s">
        <v>696</v>
      </c>
      <c r="H16" s="174" t="s">
        <v>697</v>
      </c>
      <c r="I16" s="174" t="s">
        <v>701</v>
      </c>
      <c r="J16" s="176" t="s">
        <v>39</v>
      </c>
      <c r="K16" s="77" t="s">
        <v>630</v>
      </c>
      <c r="L16" s="77" t="s">
        <v>631</v>
      </c>
      <c r="M16" s="77" t="s">
        <v>632</v>
      </c>
      <c r="N16" s="77" t="s">
        <v>633</v>
      </c>
      <c r="O16" s="77" t="s">
        <v>634</v>
      </c>
      <c r="P16" s="77" t="s">
        <v>635</v>
      </c>
      <c r="Q16" s="77" t="s">
        <v>636</v>
      </c>
      <c r="R16" s="77" t="s">
        <v>637</v>
      </c>
      <c r="S16" s="77" t="s">
        <v>638</v>
      </c>
      <c r="T16" s="77" t="s">
        <v>639</v>
      </c>
      <c r="U16" s="77" t="s">
        <v>640</v>
      </c>
      <c r="V16" s="77" t="s">
        <v>641</v>
      </c>
      <c r="W16" s="77" t="s">
        <v>276</v>
      </c>
      <c r="X16" s="77" t="s">
        <v>499</v>
      </c>
    </row>
    <row r="17" spans="1:24" s="8" customFormat="1" ht="15.75">
      <c r="A17" s="7"/>
      <c r="B17" s="188"/>
      <c r="C17" s="189"/>
      <c r="D17" s="297" t="s">
        <v>735</v>
      </c>
      <c r="E17" s="298"/>
      <c r="F17" s="58"/>
      <c r="G17" s="59"/>
      <c r="H17" s="212"/>
      <c r="I17" s="245"/>
      <c r="J17" s="58">
        <f>J18+J29</f>
        <v>4726952.13</v>
      </c>
      <c r="K17" s="58">
        <f aca="true" t="shared" si="2" ref="K17:W17">K18+K29</f>
        <v>0</v>
      </c>
      <c r="L17" s="58">
        <f t="shared" si="2"/>
        <v>71952.13</v>
      </c>
      <c r="M17" s="58">
        <f t="shared" si="2"/>
        <v>0</v>
      </c>
      <c r="N17" s="58">
        <f t="shared" si="2"/>
        <v>0</v>
      </c>
      <c r="O17" s="58">
        <f t="shared" si="2"/>
        <v>490000</v>
      </c>
      <c r="P17" s="58">
        <f t="shared" si="2"/>
        <v>740000</v>
      </c>
      <c r="Q17" s="58">
        <f t="shared" si="2"/>
        <v>350000</v>
      </c>
      <c r="R17" s="58">
        <f t="shared" si="2"/>
        <v>350000</v>
      </c>
      <c r="S17" s="58">
        <f t="shared" si="2"/>
        <v>2425000</v>
      </c>
      <c r="T17" s="58">
        <f t="shared" si="2"/>
        <v>300000</v>
      </c>
      <c r="U17" s="58">
        <f t="shared" si="2"/>
        <v>0</v>
      </c>
      <c r="V17" s="58">
        <f t="shared" si="2"/>
        <v>0</v>
      </c>
      <c r="W17" s="58">
        <f t="shared" si="2"/>
        <v>870652.5</v>
      </c>
      <c r="X17" s="60">
        <f>K17+L17+M17+N17+O17+P17+Q17+R17+S17+T17-W17</f>
        <v>3856299.63</v>
      </c>
    </row>
    <row r="18" spans="1:24" s="8" customFormat="1" ht="15.75">
      <c r="A18" s="7"/>
      <c r="B18" s="314" t="s">
        <v>694</v>
      </c>
      <c r="C18" s="314" t="s">
        <v>692</v>
      </c>
      <c r="D18" s="304" t="s">
        <v>70</v>
      </c>
      <c r="E18" s="191"/>
      <c r="F18" s="55"/>
      <c r="G18" s="56"/>
      <c r="H18" s="213"/>
      <c r="I18" s="246"/>
      <c r="J18" s="192">
        <f>SUM(J19:J28)</f>
        <v>2771952.13</v>
      </c>
      <c r="K18" s="192">
        <f aca="true" t="shared" si="3" ref="K18:W18">SUM(K19:K28)</f>
        <v>0</v>
      </c>
      <c r="L18" s="192">
        <f t="shared" si="3"/>
        <v>71952.13</v>
      </c>
      <c r="M18" s="192">
        <f t="shared" si="3"/>
        <v>0</v>
      </c>
      <c r="N18" s="192">
        <f t="shared" si="3"/>
        <v>0</v>
      </c>
      <c r="O18" s="192">
        <f t="shared" si="3"/>
        <v>490000</v>
      </c>
      <c r="P18" s="192">
        <f t="shared" si="3"/>
        <v>740000</v>
      </c>
      <c r="Q18" s="192">
        <f t="shared" si="3"/>
        <v>0</v>
      </c>
      <c r="R18" s="192">
        <f t="shared" si="3"/>
        <v>0</v>
      </c>
      <c r="S18" s="192">
        <f t="shared" si="3"/>
        <v>1470000</v>
      </c>
      <c r="T18" s="192">
        <f t="shared" si="3"/>
        <v>0</v>
      </c>
      <c r="U18" s="192">
        <f t="shared" si="3"/>
        <v>0</v>
      </c>
      <c r="V18" s="192">
        <f t="shared" si="3"/>
        <v>0</v>
      </c>
      <c r="W18" s="192">
        <f t="shared" si="3"/>
        <v>656608.77</v>
      </c>
      <c r="X18" s="184">
        <f>K18+L18+M18+N18+O18+P18+Q18+R18+S18+T18-W18</f>
        <v>2115343.36</v>
      </c>
    </row>
    <row r="19" spans="1:27" s="8" customFormat="1" ht="63">
      <c r="A19" s="7"/>
      <c r="B19" s="314"/>
      <c r="C19" s="314"/>
      <c r="D19" s="292"/>
      <c r="E19" s="54" t="s">
        <v>71</v>
      </c>
      <c r="F19" s="55"/>
      <c r="G19" s="56"/>
      <c r="H19" s="213"/>
      <c r="I19" s="247">
        <v>3132</v>
      </c>
      <c r="J19" s="57">
        <v>71952.13</v>
      </c>
      <c r="K19" s="49"/>
      <c r="L19" s="49">
        <v>71952.13</v>
      </c>
      <c r="M19" s="49"/>
      <c r="N19" s="49"/>
      <c r="O19" s="49"/>
      <c r="P19" s="49"/>
      <c r="Q19" s="49"/>
      <c r="R19" s="49"/>
      <c r="S19" s="49"/>
      <c r="T19" s="49"/>
      <c r="U19" s="49"/>
      <c r="V19" s="49"/>
      <c r="W19" s="49">
        <v>71952.13</v>
      </c>
      <c r="X19" s="40">
        <f>K19+L19+M19+N19+O19+P19+Q19+R19+S19+T19-W19</f>
        <v>0</v>
      </c>
      <c r="AA19" s="8" t="s">
        <v>199</v>
      </c>
    </row>
    <row r="20" spans="1:24" s="8" customFormat="1" ht="47.25">
      <c r="A20" s="7"/>
      <c r="B20" s="314"/>
      <c r="C20" s="314"/>
      <c r="D20" s="292"/>
      <c r="E20" s="28" t="s">
        <v>27</v>
      </c>
      <c r="F20" s="55"/>
      <c r="G20" s="56"/>
      <c r="H20" s="213"/>
      <c r="I20" s="247">
        <v>3110</v>
      </c>
      <c r="J20" s="49">
        <v>350000</v>
      </c>
      <c r="K20" s="49"/>
      <c r="L20" s="49"/>
      <c r="M20" s="49"/>
      <c r="N20" s="49"/>
      <c r="O20" s="49"/>
      <c r="P20" s="49">
        <v>350000</v>
      </c>
      <c r="Q20" s="49"/>
      <c r="R20" s="49"/>
      <c r="S20" s="49"/>
      <c r="T20" s="49"/>
      <c r="U20" s="49"/>
      <c r="V20" s="49"/>
      <c r="W20" s="49">
        <f>27540</f>
        <v>27540</v>
      </c>
      <c r="X20" s="40">
        <f aca="true" t="shared" si="4" ref="X20:X84">K20+L20+M20+N20+O20+P20+Q20+R20+S20+T20-W20</f>
        <v>322460</v>
      </c>
    </row>
    <row r="21" spans="1:24" s="8" customFormat="1" ht="47.25">
      <c r="A21" s="7"/>
      <c r="B21" s="314"/>
      <c r="C21" s="314"/>
      <c r="D21" s="292"/>
      <c r="E21" s="28" t="s">
        <v>28</v>
      </c>
      <c r="F21" s="55"/>
      <c r="G21" s="56"/>
      <c r="H21" s="213"/>
      <c r="I21" s="247">
        <v>3110</v>
      </c>
      <c r="J21" s="49">
        <v>390000</v>
      </c>
      <c r="K21" s="49"/>
      <c r="L21" s="49"/>
      <c r="M21" s="49"/>
      <c r="N21" s="49"/>
      <c r="O21" s="49"/>
      <c r="P21" s="49">
        <v>390000</v>
      </c>
      <c r="Q21" s="49"/>
      <c r="R21" s="49"/>
      <c r="S21" s="49"/>
      <c r="T21" s="49"/>
      <c r="U21" s="49"/>
      <c r="V21" s="49"/>
      <c r="W21" s="49"/>
      <c r="X21" s="40">
        <f t="shared" si="4"/>
        <v>390000</v>
      </c>
    </row>
    <row r="22" spans="1:24" s="8" customFormat="1" ht="47.25" hidden="1">
      <c r="A22" s="7"/>
      <c r="B22" s="314"/>
      <c r="C22" s="314"/>
      <c r="D22" s="292"/>
      <c r="E22" s="28" t="s">
        <v>29</v>
      </c>
      <c r="F22" s="55"/>
      <c r="G22" s="56"/>
      <c r="H22" s="213"/>
      <c r="I22" s="247">
        <v>3132</v>
      </c>
      <c r="J22" s="49">
        <f>700000-700000</f>
        <v>0</v>
      </c>
      <c r="K22" s="49"/>
      <c r="L22" s="49"/>
      <c r="M22" s="49"/>
      <c r="N22" s="49"/>
      <c r="O22" s="49"/>
      <c r="P22" s="49"/>
      <c r="Q22" s="49">
        <f>350000-350000</f>
        <v>0</v>
      </c>
      <c r="R22" s="49">
        <f>350000-350000</f>
        <v>0</v>
      </c>
      <c r="S22" s="49"/>
      <c r="T22" s="49"/>
      <c r="U22" s="49"/>
      <c r="V22" s="49"/>
      <c r="W22" s="49"/>
      <c r="X22" s="40">
        <f t="shared" si="4"/>
        <v>0</v>
      </c>
    </row>
    <row r="23" spans="1:24" s="8" customFormat="1" ht="31.5">
      <c r="A23" s="7"/>
      <c r="B23" s="314"/>
      <c r="C23" s="314"/>
      <c r="D23" s="292"/>
      <c r="E23" s="28" t="s">
        <v>30</v>
      </c>
      <c r="F23" s="55"/>
      <c r="G23" s="56"/>
      <c r="H23" s="213"/>
      <c r="I23" s="247">
        <v>3110</v>
      </c>
      <c r="J23" s="49">
        <v>290000</v>
      </c>
      <c r="K23" s="49"/>
      <c r="L23" s="49"/>
      <c r="M23" s="49"/>
      <c r="N23" s="49"/>
      <c r="O23" s="49">
        <v>290000</v>
      </c>
      <c r="P23" s="49"/>
      <c r="Q23" s="49"/>
      <c r="R23" s="49"/>
      <c r="S23" s="49"/>
      <c r="T23" s="49"/>
      <c r="U23" s="49"/>
      <c r="V23" s="49"/>
      <c r="W23" s="49">
        <f>42372+25343</f>
        <v>67715</v>
      </c>
      <c r="X23" s="40">
        <f t="shared" si="4"/>
        <v>222285</v>
      </c>
    </row>
    <row r="24" spans="1:24" s="8" customFormat="1" ht="78.75">
      <c r="A24" s="7"/>
      <c r="B24" s="314"/>
      <c r="C24" s="314"/>
      <c r="D24" s="292"/>
      <c r="E24" s="28" t="s">
        <v>748</v>
      </c>
      <c r="F24" s="55"/>
      <c r="G24" s="56"/>
      <c r="H24" s="213"/>
      <c r="I24" s="247">
        <v>3110</v>
      </c>
      <c r="J24" s="49">
        <v>25000</v>
      </c>
      <c r="K24" s="49"/>
      <c r="L24" s="49"/>
      <c r="M24" s="49"/>
      <c r="N24" s="49"/>
      <c r="O24" s="49"/>
      <c r="P24" s="49"/>
      <c r="Q24" s="49"/>
      <c r="R24" s="49"/>
      <c r="S24" s="49">
        <v>25000</v>
      </c>
      <c r="T24" s="49"/>
      <c r="U24" s="49"/>
      <c r="V24" s="49"/>
      <c r="W24" s="49"/>
      <c r="X24" s="40">
        <f t="shared" si="4"/>
        <v>25000</v>
      </c>
    </row>
    <row r="25" spans="1:24" s="8" customFormat="1" ht="63">
      <c r="A25" s="7"/>
      <c r="B25" s="314"/>
      <c r="C25" s="314"/>
      <c r="D25" s="292"/>
      <c r="E25" s="28" t="s">
        <v>749</v>
      </c>
      <c r="F25" s="55"/>
      <c r="G25" s="56"/>
      <c r="H25" s="213"/>
      <c r="I25" s="247">
        <v>3132</v>
      </c>
      <c r="J25" s="49">
        <f>500000+580000</f>
        <v>1080000</v>
      </c>
      <c r="K25" s="49"/>
      <c r="L25" s="49"/>
      <c r="M25" s="49"/>
      <c r="N25" s="49"/>
      <c r="O25" s="49"/>
      <c r="P25" s="49"/>
      <c r="Q25" s="49"/>
      <c r="R25" s="49"/>
      <c r="S25" s="49">
        <f>500000+580000</f>
        <v>1080000</v>
      </c>
      <c r="T25" s="49"/>
      <c r="U25" s="49"/>
      <c r="V25" s="49"/>
      <c r="W25" s="49">
        <v>489401.64</v>
      </c>
      <c r="X25" s="40">
        <f t="shared" si="4"/>
        <v>590598.36</v>
      </c>
    </row>
    <row r="26" spans="1:24" s="8" customFormat="1" ht="47.25">
      <c r="A26" s="7"/>
      <c r="B26" s="314"/>
      <c r="C26" s="314"/>
      <c r="D26" s="292"/>
      <c r="E26" s="28" t="s">
        <v>750</v>
      </c>
      <c r="F26" s="55"/>
      <c r="G26" s="56"/>
      <c r="H26" s="213"/>
      <c r="I26" s="247">
        <v>3132</v>
      </c>
      <c r="J26" s="49">
        <v>25000</v>
      </c>
      <c r="K26" s="49"/>
      <c r="L26" s="49"/>
      <c r="M26" s="49"/>
      <c r="N26" s="49"/>
      <c r="O26" s="49"/>
      <c r="P26" s="49"/>
      <c r="Q26" s="49"/>
      <c r="R26" s="49"/>
      <c r="S26" s="49">
        <v>25000</v>
      </c>
      <c r="T26" s="49"/>
      <c r="U26" s="49"/>
      <c r="V26" s="49"/>
      <c r="W26" s="49"/>
      <c r="X26" s="40">
        <f t="shared" si="4"/>
        <v>25000</v>
      </c>
    </row>
    <row r="27" spans="1:24" s="8" customFormat="1" ht="47.25">
      <c r="A27" s="7"/>
      <c r="B27" s="314"/>
      <c r="C27" s="314"/>
      <c r="D27" s="292"/>
      <c r="E27" s="28" t="s">
        <v>399</v>
      </c>
      <c r="F27" s="55"/>
      <c r="G27" s="56"/>
      <c r="H27" s="213"/>
      <c r="I27" s="247">
        <v>3132</v>
      </c>
      <c r="J27" s="49">
        <v>340000</v>
      </c>
      <c r="K27" s="49"/>
      <c r="L27" s="49"/>
      <c r="M27" s="49"/>
      <c r="N27" s="49"/>
      <c r="O27" s="49"/>
      <c r="P27" s="49"/>
      <c r="Q27" s="49"/>
      <c r="R27" s="49"/>
      <c r="S27" s="49">
        <v>340000</v>
      </c>
      <c r="T27" s="49"/>
      <c r="U27" s="49"/>
      <c r="V27" s="49"/>
      <c r="W27" s="49"/>
      <c r="X27" s="40">
        <f t="shared" si="4"/>
        <v>340000</v>
      </c>
    </row>
    <row r="28" spans="1:24" s="8" customFormat="1" ht="94.5">
      <c r="A28" s="7"/>
      <c r="B28" s="314"/>
      <c r="C28" s="314"/>
      <c r="D28" s="305"/>
      <c r="E28" s="28" t="s">
        <v>665</v>
      </c>
      <c r="F28" s="55"/>
      <c r="G28" s="56"/>
      <c r="H28" s="213"/>
      <c r="I28" s="247">
        <v>3132</v>
      </c>
      <c r="J28" s="49">
        <v>200000</v>
      </c>
      <c r="K28" s="49"/>
      <c r="L28" s="49"/>
      <c r="M28" s="49"/>
      <c r="N28" s="49"/>
      <c r="O28" s="49">
        <v>200000</v>
      </c>
      <c r="P28" s="49"/>
      <c r="Q28" s="49"/>
      <c r="R28" s="49"/>
      <c r="S28" s="49"/>
      <c r="T28" s="49"/>
      <c r="U28" s="49"/>
      <c r="V28" s="49"/>
      <c r="W28" s="49"/>
      <c r="X28" s="40">
        <f t="shared" si="4"/>
        <v>200000</v>
      </c>
    </row>
    <row r="29" spans="1:24" s="8" customFormat="1" ht="15.75">
      <c r="A29" s="7"/>
      <c r="B29" s="319" t="s">
        <v>876</v>
      </c>
      <c r="C29" s="319" t="s">
        <v>714</v>
      </c>
      <c r="D29" s="318" t="s">
        <v>885</v>
      </c>
      <c r="E29" s="28"/>
      <c r="F29" s="55"/>
      <c r="G29" s="56"/>
      <c r="H29" s="55"/>
      <c r="I29" s="247"/>
      <c r="J29" s="184">
        <f>SUM(J30:J32)</f>
        <v>1955000</v>
      </c>
      <c r="K29" s="184">
        <f aca="true" t="shared" si="5" ref="K29:W29">SUM(K30:K32)</f>
        <v>0</v>
      </c>
      <c r="L29" s="184">
        <f t="shared" si="5"/>
        <v>0</v>
      </c>
      <c r="M29" s="184">
        <f t="shared" si="5"/>
        <v>0</v>
      </c>
      <c r="N29" s="184">
        <f t="shared" si="5"/>
        <v>0</v>
      </c>
      <c r="O29" s="184">
        <f t="shared" si="5"/>
        <v>0</v>
      </c>
      <c r="P29" s="184">
        <f t="shared" si="5"/>
        <v>0</v>
      </c>
      <c r="Q29" s="184">
        <f t="shared" si="5"/>
        <v>350000</v>
      </c>
      <c r="R29" s="184">
        <f t="shared" si="5"/>
        <v>350000</v>
      </c>
      <c r="S29" s="184">
        <f t="shared" si="5"/>
        <v>955000</v>
      </c>
      <c r="T29" s="184">
        <f t="shared" si="5"/>
        <v>300000</v>
      </c>
      <c r="U29" s="184">
        <f t="shared" si="5"/>
        <v>0</v>
      </c>
      <c r="V29" s="184">
        <f t="shared" si="5"/>
        <v>0</v>
      </c>
      <c r="W29" s="184">
        <f t="shared" si="5"/>
        <v>214043.72999999998</v>
      </c>
      <c r="X29" s="184">
        <f t="shared" si="4"/>
        <v>1740956.27</v>
      </c>
    </row>
    <row r="30" spans="1:24" s="8" customFormat="1" ht="94.5">
      <c r="A30" s="7"/>
      <c r="B30" s="320"/>
      <c r="C30" s="320"/>
      <c r="D30" s="318"/>
      <c r="E30" s="28" t="s">
        <v>29</v>
      </c>
      <c r="F30" s="55"/>
      <c r="G30" s="56"/>
      <c r="H30" s="55"/>
      <c r="I30" s="284" t="s">
        <v>662</v>
      </c>
      <c r="J30" s="49">
        <f>700000+222000</f>
        <v>922000</v>
      </c>
      <c r="K30" s="49"/>
      <c r="L30" s="49"/>
      <c r="M30" s="49"/>
      <c r="N30" s="49"/>
      <c r="O30" s="49"/>
      <c r="P30" s="49"/>
      <c r="Q30" s="49">
        <v>350000</v>
      </c>
      <c r="R30" s="49">
        <v>350000</v>
      </c>
      <c r="S30" s="49">
        <v>222000</v>
      </c>
      <c r="T30" s="49"/>
      <c r="U30" s="49"/>
      <c r="V30" s="49"/>
      <c r="W30" s="49">
        <f>2388.33+211655.4</f>
        <v>214043.72999999998</v>
      </c>
      <c r="X30" s="40">
        <f t="shared" si="4"/>
        <v>707956.27</v>
      </c>
    </row>
    <row r="31" spans="1:24" s="8" customFormat="1" ht="94.5">
      <c r="A31" s="7"/>
      <c r="B31" s="320"/>
      <c r="C31" s="320"/>
      <c r="D31" s="318"/>
      <c r="E31" s="285" t="s">
        <v>130</v>
      </c>
      <c r="F31" s="55"/>
      <c r="G31" s="56"/>
      <c r="H31" s="55"/>
      <c r="I31" s="284">
        <v>3110</v>
      </c>
      <c r="J31" s="49">
        <v>300000</v>
      </c>
      <c r="K31" s="49"/>
      <c r="L31" s="49"/>
      <c r="M31" s="49"/>
      <c r="N31" s="49"/>
      <c r="O31" s="49"/>
      <c r="P31" s="49"/>
      <c r="Q31" s="49"/>
      <c r="R31" s="49"/>
      <c r="S31" s="49"/>
      <c r="T31" s="49">
        <v>300000</v>
      </c>
      <c r="U31" s="49"/>
      <c r="V31" s="49"/>
      <c r="W31" s="49"/>
      <c r="X31" s="40">
        <f t="shared" si="4"/>
        <v>300000</v>
      </c>
    </row>
    <row r="32" spans="1:24" s="8" customFormat="1" ht="31.5">
      <c r="A32" s="7"/>
      <c r="B32" s="321"/>
      <c r="C32" s="321"/>
      <c r="D32" s="318"/>
      <c r="E32" s="285" t="s">
        <v>398</v>
      </c>
      <c r="F32" s="55"/>
      <c r="G32" s="56"/>
      <c r="H32" s="55"/>
      <c r="I32" s="247">
        <v>3132</v>
      </c>
      <c r="J32" s="49">
        <v>733000</v>
      </c>
      <c r="K32" s="49"/>
      <c r="L32" s="49"/>
      <c r="M32" s="49"/>
      <c r="N32" s="49"/>
      <c r="O32" s="49"/>
      <c r="P32" s="49"/>
      <c r="Q32" s="49"/>
      <c r="R32" s="49"/>
      <c r="S32" s="49">
        <v>733000</v>
      </c>
      <c r="T32" s="49"/>
      <c r="U32" s="49"/>
      <c r="V32" s="49"/>
      <c r="W32" s="49"/>
      <c r="X32" s="40">
        <f t="shared" si="4"/>
        <v>733000</v>
      </c>
    </row>
    <row r="33" spans="1:24" s="8" customFormat="1" ht="15.75">
      <c r="A33" s="7"/>
      <c r="B33" s="193"/>
      <c r="C33" s="193"/>
      <c r="D33" s="335" t="s">
        <v>666</v>
      </c>
      <c r="E33" s="336"/>
      <c r="F33" s="58"/>
      <c r="G33" s="59"/>
      <c r="H33" s="212"/>
      <c r="I33" s="245"/>
      <c r="J33" s="60">
        <f>J34</f>
        <v>498000</v>
      </c>
      <c r="K33" s="60">
        <f aca="true" t="shared" si="6" ref="K33:W33">K34</f>
        <v>0</v>
      </c>
      <c r="L33" s="60">
        <f t="shared" si="6"/>
        <v>0</v>
      </c>
      <c r="M33" s="60">
        <f t="shared" si="6"/>
        <v>0</v>
      </c>
      <c r="N33" s="60">
        <f t="shared" si="6"/>
        <v>25000</v>
      </c>
      <c r="O33" s="60">
        <f t="shared" si="6"/>
        <v>0</v>
      </c>
      <c r="P33" s="60">
        <f t="shared" si="6"/>
        <v>0</v>
      </c>
      <c r="Q33" s="60">
        <f t="shared" si="6"/>
        <v>443000</v>
      </c>
      <c r="R33" s="60">
        <f t="shared" si="6"/>
        <v>0</v>
      </c>
      <c r="S33" s="60">
        <f t="shared" si="6"/>
        <v>0</v>
      </c>
      <c r="T33" s="60">
        <f t="shared" si="6"/>
        <v>30000</v>
      </c>
      <c r="U33" s="60">
        <f t="shared" si="6"/>
        <v>0</v>
      </c>
      <c r="V33" s="60">
        <f t="shared" si="6"/>
        <v>0</v>
      </c>
      <c r="W33" s="60">
        <f t="shared" si="6"/>
        <v>79364</v>
      </c>
      <c r="X33" s="60">
        <f t="shared" si="4"/>
        <v>418636</v>
      </c>
    </row>
    <row r="34" spans="1:24" s="8" customFormat="1" ht="15.75">
      <c r="A34" s="7"/>
      <c r="B34" s="315" t="s">
        <v>694</v>
      </c>
      <c r="C34" s="315" t="s">
        <v>692</v>
      </c>
      <c r="D34" s="304" t="s">
        <v>70</v>
      </c>
      <c r="E34" s="39"/>
      <c r="F34" s="55"/>
      <c r="G34" s="56"/>
      <c r="H34" s="213"/>
      <c r="I34" s="246"/>
      <c r="J34" s="184">
        <f>SUM(J35:J38)</f>
        <v>498000</v>
      </c>
      <c r="K34" s="184">
        <f aca="true" t="shared" si="7" ref="K34:W34">SUM(K35:K38)</f>
        <v>0</v>
      </c>
      <c r="L34" s="184">
        <f t="shared" si="7"/>
        <v>0</v>
      </c>
      <c r="M34" s="184">
        <f t="shared" si="7"/>
        <v>0</v>
      </c>
      <c r="N34" s="184">
        <f t="shared" si="7"/>
        <v>25000</v>
      </c>
      <c r="O34" s="184">
        <f t="shared" si="7"/>
        <v>0</v>
      </c>
      <c r="P34" s="184">
        <f t="shared" si="7"/>
        <v>0</v>
      </c>
      <c r="Q34" s="184">
        <f t="shared" si="7"/>
        <v>443000</v>
      </c>
      <c r="R34" s="184">
        <f t="shared" si="7"/>
        <v>0</v>
      </c>
      <c r="S34" s="184">
        <f t="shared" si="7"/>
        <v>0</v>
      </c>
      <c r="T34" s="184">
        <f t="shared" si="7"/>
        <v>30000</v>
      </c>
      <c r="U34" s="184">
        <f t="shared" si="7"/>
        <v>0</v>
      </c>
      <c r="V34" s="184">
        <f t="shared" si="7"/>
        <v>0</v>
      </c>
      <c r="W34" s="184">
        <f t="shared" si="7"/>
        <v>79364</v>
      </c>
      <c r="X34" s="184">
        <f t="shared" si="4"/>
        <v>418636</v>
      </c>
    </row>
    <row r="35" spans="1:24" s="8" customFormat="1" ht="173.25">
      <c r="A35" s="7"/>
      <c r="B35" s="316"/>
      <c r="C35" s="316"/>
      <c r="D35" s="292"/>
      <c r="E35" s="28" t="s">
        <v>690</v>
      </c>
      <c r="F35" s="57"/>
      <c r="G35" s="61"/>
      <c r="H35" s="214"/>
      <c r="I35" s="247">
        <v>3110</v>
      </c>
      <c r="J35" s="49">
        <v>25000</v>
      </c>
      <c r="K35" s="49"/>
      <c r="L35" s="49"/>
      <c r="M35" s="49"/>
      <c r="N35" s="49">
        <v>25000</v>
      </c>
      <c r="O35" s="49"/>
      <c r="P35" s="49"/>
      <c r="Q35" s="49"/>
      <c r="R35" s="49"/>
      <c r="S35" s="49"/>
      <c r="T35" s="49"/>
      <c r="U35" s="49"/>
      <c r="V35" s="49"/>
      <c r="W35" s="49"/>
      <c r="X35" s="40">
        <f t="shared" si="4"/>
        <v>25000</v>
      </c>
    </row>
    <row r="36" spans="1:24" s="8" customFormat="1" ht="31.5">
      <c r="A36" s="7"/>
      <c r="B36" s="316"/>
      <c r="C36" s="316"/>
      <c r="D36" s="292"/>
      <c r="E36" s="31" t="s">
        <v>667</v>
      </c>
      <c r="F36" s="55"/>
      <c r="G36" s="56"/>
      <c r="H36" s="213"/>
      <c r="I36" s="247">
        <v>3110</v>
      </c>
      <c r="J36" s="62">
        <v>84000</v>
      </c>
      <c r="K36" s="49"/>
      <c r="L36" s="49"/>
      <c r="M36" s="49"/>
      <c r="N36" s="49"/>
      <c r="O36" s="49"/>
      <c r="P36" s="49"/>
      <c r="Q36" s="49">
        <v>84000</v>
      </c>
      <c r="R36" s="49"/>
      <c r="S36" s="49"/>
      <c r="T36" s="49"/>
      <c r="U36" s="49"/>
      <c r="V36" s="49"/>
      <c r="W36" s="49">
        <f>79364</f>
        <v>79364</v>
      </c>
      <c r="X36" s="40">
        <f t="shared" si="4"/>
        <v>4636</v>
      </c>
    </row>
    <row r="37" spans="1:24" s="8" customFormat="1" ht="47.25">
      <c r="A37" s="7"/>
      <c r="B37" s="316"/>
      <c r="C37" s="316"/>
      <c r="D37" s="292"/>
      <c r="E37" s="31" t="s">
        <v>160</v>
      </c>
      <c r="F37" s="55"/>
      <c r="G37" s="56"/>
      <c r="H37" s="213"/>
      <c r="I37" s="247">
        <v>3110</v>
      </c>
      <c r="J37" s="62">
        <f>386000-27000</f>
        <v>359000</v>
      </c>
      <c r="K37" s="49"/>
      <c r="L37" s="49"/>
      <c r="M37" s="49"/>
      <c r="N37" s="49"/>
      <c r="O37" s="49"/>
      <c r="P37" s="49"/>
      <c r="Q37" s="49">
        <f>386000-27000</f>
        <v>359000</v>
      </c>
      <c r="R37" s="49"/>
      <c r="S37" s="49"/>
      <c r="T37" s="49"/>
      <c r="U37" s="49"/>
      <c r="V37" s="49"/>
      <c r="W37" s="49"/>
      <c r="X37" s="40">
        <f t="shared" si="4"/>
        <v>359000</v>
      </c>
    </row>
    <row r="38" spans="1:24" s="8" customFormat="1" ht="31.5">
      <c r="A38" s="7"/>
      <c r="B38" s="317"/>
      <c r="C38" s="317"/>
      <c r="D38" s="305"/>
      <c r="E38" s="31" t="s">
        <v>161</v>
      </c>
      <c r="F38" s="55"/>
      <c r="G38" s="56"/>
      <c r="H38" s="213"/>
      <c r="I38" s="247">
        <v>3110</v>
      </c>
      <c r="J38" s="62">
        <v>30000</v>
      </c>
      <c r="K38" s="49"/>
      <c r="L38" s="49"/>
      <c r="M38" s="49"/>
      <c r="N38" s="49"/>
      <c r="O38" s="49"/>
      <c r="P38" s="49"/>
      <c r="Q38" s="49"/>
      <c r="R38" s="49"/>
      <c r="S38" s="49"/>
      <c r="T38" s="49">
        <v>30000</v>
      </c>
      <c r="U38" s="49"/>
      <c r="V38" s="49"/>
      <c r="W38" s="49"/>
      <c r="X38" s="40">
        <f t="shared" si="4"/>
        <v>30000</v>
      </c>
    </row>
    <row r="39" spans="2:24" ht="15.75">
      <c r="B39" s="194"/>
      <c r="C39" s="195"/>
      <c r="D39" s="297" t="s">
        <v>253</v>
      </c>
      <c r="E39" s="298"/>
      <c r="F39" s="196"/>
      <c r="G39" s="197"/>
      <c r="H39" s="215"/>
      <c r="I39" s="248"/>
      <c r="J39" s="198">
        <f aca="true" t="shared" si="8" ref="J39:W39">J40+J152+J288+J301+J324+J326+J343+J346+J352+J366+J373+J268+J296+J284+J281</f>
        <v>62987874.28999999</v>
      </c>
      <c r="K39" s="198">
        <f t="shared" si="8"/>
        <v>0</v>
      </c>
      <c r="L39" s="198">
        <f t="shared" si="8"/>
        <v>2707276.5400000005</v>
      </c>
      <c r="M39" s="198">
        <f t="shared" si="8"/>
        <v>0</v>
      </c>
      <c r="N39" s="198">
        <f t="shared" si="8"/>
        <v>54300</v>
      </c>
      <c r="O39" s="198">
        <f t="shared" si="8"/>
        <v>4210537.33</v>
      </c>
      <c r="P39" s="198">
        <f t="shared" si="8"/>
        <v>439522</v>
      </c>
      <c r="Q39" s="198">
        <f t="shared" si="8"/>
        <v>20946215.380000003</v>
      </c>
      <c r="R39" s="198">
        <f t="shared" si="8"/>
        <v>8746423.04</v>
      </c>
      <c r="S39" s="198">
        <f t="shared" si="8"/>
        <v>18647200</v>
      </c>
      <c r="T39" s="198">
        <f t="shared" si="8"/>
        <v>3669300</v>
      </c>
      <c r="U39" s="198">
        <f t="shared" si="8"/>
        <v>1048100</v>
      </c>
      <c r="V39" s="198">
        <f t="shared" si="8"/>
        <v>2519000</v>
      </c>
      <c r="W39" s="198">
        <f t="shared" si="8"/>
        <v>28083569.769999996</v>
      </c>
      <c r="X39" s="60">
        <f t="shared" si="4"/>
        <v>31337204.52000001</v>
      </c>
    </row>
    <row r="40" spans="2:24" ht="15.75">
      <c r="B40" s="301" t="s">
        <v>877</v>
      </c>
      <c r="C40" s="301" t="s">
        <v>72</v>
      </c>
      <c r="D40" s="304" t="s">
        <v>841</v>
      </c>
      <c r="E40" s="63"/>
      <c r="F40" s="45"/>
      <c r="G40" s="199"/>
      <c r="H40" s="216"/>
      <c r="I40" s="249"/>
      <c r="J40" s="185">
        <f>J41+J43+J59+J60+J62+J65+J66+J67+J68+J69+J70+J73+J92+J93+J94+J95+J97+J98+J99+J100+J101+J103+J104+J105+J106+J108+J109+J111+J115+J122+J151+J74+J75+J76+J77+J78+J81+J82+J83+J84+J85+J86+J96+J107+J79+J80+J112+J113+J114+J116+J117+J118+J119+J120+J121+J89+J90+J91+J87+J88+J110+J123+J124+J125+J126+J128+J145+J102+J127+J129+J130+J131+J132+J133+J134+J135+J136+J137+J138+J139+J140+J141+J142+J143+J144+J148+J147+J146+J149+J150</f>
        <v>23978766.52</v>
      </c>
      <c r="K40" s="185">
        <f aca="true" t="shared" si="9" ref="K40:W40">K41+K43+K59+K60+K62+K65+K66+K67+K68+K69+K70+K73+K92+K93+K94+K95+K97+K98+K99+K100+K101+K103+K104+K105+K106+K108+K109+K111+K115+K122+K151+K74+K75+K76+K77+K78+K81+K82+K83+K84+K85+K86+K96+K107+K79+K80+K112+K113+K114+K116+K117+K118+K119+K120+K121+K89+K90+K91+K87+K88+K110+K123+K124+K125+K126+K128+K145+K102+K127+K129+K130+K131+K132+K133+K134+K135+K136+K137+K138+K139+K140+K141+K142+K143+K144+K148+K147+K146+K149+K150</f>
        <v>0</v>
      </c>
      <c r="L40" s="185">
        <f t="shared" si="9"/>
        <v>1013908.5199999999</v>
      </c>
      <c r="M40" s="185">
        <f t="shared" si="9"/>
        <v>0</v>
      </c>
      <c r="N40" s="185">
        <f t="shared" si="9"/>
        <v>25000</v>
      </c>
      <c r="O40" s="185">
        <f t="shared" si="9"/>
        <v>182072.93</v>
      </c>
      <c r="P40" s="185">
        <f t="shared" si="9"/>
        <v>9422</v>
      </c>
      <c r="Q40" s="185">
        <f t="shared" si="9"/>
        <v>7760363.07</v>
      </c>
      <c r="R40" s="185">
        <f t="shared" si="9"/>
        <v>5293400</v>
      </c>
      <c r="S40" s="185">
        <f t="shared" si="9"/>
        <v>8161100</v>
      </c>
      <c r="T40" s="185">
        <f t="shared" si="9"/>
        <v>493500</v>
      </c>
      <c r="U40" s="185">
        <f t="shared" si="9"/>
        <v>810000</v>
      </c>
      <c r="V40" s="185">
        <f t="shared" si="9"/>
        <v>230000</v>
      </c>
      <c r="W40" s="185">
        <f t="shared" si="9"/>
        <v>11990371.919999998</v>
      </c>
      <c r="X40" s="184">
        <f t="shared" si="4"/>
        <v>10948394.600000001</v>
      </c>
    </row>
    <row r="41" spans="2:24" ht="63">
      <c r="B41" s="295"/>
      <c r="C41" s="295"/>
      <c r="D41" s="292"/>
      <c r="E41" s="267" t="s">
        <v>716</v>
      </c>
      <c r="F41" s="45"/>
      <c r="G41" s="46"/>
      <c r="H41" s="216"/>
      <c r="I41" s="249"/>
      <c r="J41" s="45">
        <f>J42</f>
        <v>3391.57</v>
      </c>
      <c r="K41" s="49"/>
      <c r="L41" s="45">
        <f>L42</f>
        <v>3391.57</v>
      </c>
      <c r="M41" s="49"/>
      <c r="N41" s="49"/>
      <c r="O41" s="49"/>
      <c r="P41" s="49"/>
      <c r="Q41" s="49"/>
      <c r="R41" s="49"/>
      <c r="S41" s="49"/>
      <c r="T41" s="49"/>
      <c r="U41" s="49"/>
      <c r="V41" s="49"/>
      <c r="W41" s="49">
        <f>W42</f>
        <v>3391.57</v>
      </c>
      <c r="X41" s="40">
        <f t="shared" si="4"/>
        <v>0</v>
      </c>
    </row>
    <row r="42" spans="2:24" ht="31.5">
      <c r="B42" s="295"/>
      <c r="C42" s="295"/>
      <c r="D42" s="292"/>
      <c r="E42" s="272" t="s">
        <v>73</v>
      </c>
      <c r="F42" s="45"/>
      <c r="G42" s="46"/>
      <c r="H42" s="216"/>
      <c r="I42" s="249">
        <v>3132</v>
      </c>
      <c r="J42" s="9">
        <v>3391.57</v>
      </c>
      <c r="K42" s="49"/>
      <c r="L42" s="9">
        <v>3391.57</v>
      </c>
      <c r="M42" s="49"/>
      <c r="N42" s="49"/>
      <c r="O42" s="49"/>
      <c r="P42" s="49"/>
      <c r="Q42" s="49"/>
      <c r="R42" s="49"/>
      <c r="S42" s="49"/>
      <c r="T42" s="49"/>
      <c r="U42" s="49"/>
      <c r="V42" s="49"/>
      <c r="W42" s="49">
        <v>3391.57</v>
      </c>
      <c r="X42" s="40">
        <f t="shared" si="4"/>
        <v>0</v>
      </c>
    </row>
    <row r="43" spans="2:24" ht="31.5">
      <c r="B43" s="295"/>
      <c r="C43" s="295"/>
      <c r="D43" s="292"/>
      <c r="E43" s="267" t="s">
        <v>74</v>
      </c>
      <c r="F43" s="45"/>
      <c r="G43" s="46"/>
      <c r="H43" s="216"/>
      <c r="I43" s="249"/>
      <c r="J43" s="45">
        <f>SUM(J44:J58)</f>
        <v>60118.99999999999</v>
      </c>
      <c r="K43" s="49"/>
      <c r="L43" s="45">
        <f>SUM(L44:L58)</f>
        <v>60118.99999999999</v>
      </c>
      <c r="M43" s="49"/>
      <c r="N43" s="49"/>
      <c r="O43" s="49"/>
      <c r="P43" s="49"/>
      <c r="Q43" s="49"/>
      <c r="R43" s="49"/>
      <c r="S43" s="49"/>
      <c r="T43" s="49"/>
      <c r="U43" s="49"/>
      <c r="V43" s="49"/>
      <c r="W43" s="45">
        <f>SUM(W44:W58)</f>
        <v>60118.99999999999</v>
      </c>
      <c r="X43" s="40">
        <f t="shared" si="4"/>
        <v>0</v>
      </c>
    </row>
    <row r="44" spans="2:24" ht="47.25">
      <c r="B44" s="295"/>
      <c r="C44" s="295"/>
      <c r="D44" s="292"/>
      <c r="E44" s="268" t="s">
        <v>762</v>
      </c>
      <c r="F44" s="45"/>
      <c r="G44" s="46"/>
      <c r="H44" s="216"/>
      <c r="I44" s="249">
        <v>3132</v>
      </c>
      <c r="J44" s="9">
        <v>4138.8</v>
      </c>
      <c r="K44" s="49"/>
      <c r="L44" s="9">
        <v>4138.8</v>
      </c>
      <c r="M44" s="49"/>
      <c r="N44" s="49"/>
      <c r="O44" s="49"/>
      <c r="P44" s="49"/>
      <c r="Q44" s="49"/>
      <c r="R44" s="49"/>
      <c r="S44" s="49"/>
      <c r="T44" s="49"/>
      <c r="U44" s="49"/>
      <c r="V44" s="49"/>
      <c r="W44" s="49">
        <v>4138.8</v>
      </c>
      <c r="X44" s="40">
        <f t="shared" si="4"/>
        <v>0</v>
      </c>
    </row>
    <row r="45" spans="2:24" ht="47.25">
      <c r="B45" s="295"/>
      <c r="C45" s="295"/>
      <c r="D45" s="292"/>
      <c r="E45" s="268" t="s">
        <v>763</v>
      </c>
      <c r="F45" s="45"/>
      <c r="G45" s="46"/>
      <c r="H45" s="216"/>
      <c r="I45" s="249">
        <v>3132</v>
      </c>
      <c r="J45" s="9">
        <v>3960</v>
      </c>
      <c r="K45" s="49"/>
      <c r="L45" s="9">
        <v>3960</v>
      </c>
      <c r="M45" s="49"/>
      <c r="N45" s="49"/>
      <c r="O45" s="49"/>
      <c r="P45" s="49"/>
      <c r="Q45" s="49"/>
      <c r="R45" s="49"/>
      <c r="S45" s="49"/>
      <c r="T45" s="49"/>
      <c r="U45" s="49"/>
      <c r="V45" s="49"/>
      <c r="W45" s="49">
        <v>3960</v>
      </c>
      <c r="X45" s="40">
        <f t="shared" si="4"/>
        <v>0</v>
      </c>
    </row>
    <row r="46" spans="2:24" ht="47.25">
      <c r="B46" s="295"/>
      <c r="C46" s="295"/>
      <c r="D46" s="292"/>
      <c r="E46" s="268" t="s">
        <v>764</v>
      </c>
      <c r="F46" s="45"/>
      <c r="G46" s="46"/>
      <c r="H46" s="216"/>
      <c r="I46" s="249">
        <v>3132</v>
      </c>
      <c r="J46" s="9">
        <v>4125.6</v>
      </c>
      <c r="K46" s="49"/>
      <c r="L46" s="9">
        <v>4125.6</v>
      </c>
      <c r="M46" s="49"/>
      <c r="N46" s="49"/>
      <c r="O46" s="49"/>
      <c r="P46" s="49"/>
      <c r="Q46" s="49"/>
      <c r="R46" s="49"/>
      <c r="S46" s="49"/>
      <c r="T46" s="49"/>
      <c r="U46" s="49"/>
      <c r="V46" s="49"/>
      <c r="W46" s="49">
        <v>4125.6</v>
      </c>
      <c r="X46" s="40">
        <f t="shared" si="4"/>
        <v>0</v>
      </c>
    </row>
    <row r="47" spans="2:24" ht="47.25">
      <c r="B47" s="295"/>
      <c r="C47" s="295"/>
      <c r="D47" s="292"/>
      <c r="E47" s="268" t="s">
        <v>765</v>
      </c>
      <c r="F47" s="45"/>
      <c r="G47" s="46"/>
      <c r="H47" s="216"/>
      <c r="I47" s="249">
        <v>3132</v>
      </c>
      <c r="J47" s="9">
        <v>4136.6</v>
      </c>
      <c r="K47" s="49"/>
      <c r="L47" s="9">
        <v>4136.6</v>
      </c>
      <c r="M47" s="49"/>
      <c r="N47" s="49"/>
      <c r="O47" s="49"/>
      <c r="P47" s="49"/>
      <c r="Q47" s="49"/>
      <c r="R47" s="49"/>
      <c r="S47" s="49"/>
      <c r="T47" s="49"/>
      <c r="U47" s="49"/>
      <c r="V47" s="49"/>
      <c r="W47" s="49">
        <v>4136.6</v>
      </c>
      <c r="X47" s="40">
        <f t="shared" si="4"/>
        <v>0</v>
      </c>
    </row>
    <row r="48" spans="2:24" ht="47.25">
      <c r="B48" s="295"/>
      <c r="C48" s="295"/>
      <c r="D48" s="292"/>
      <c r="E48" s="268" t="s">
        <v>766</v>
      </c>
      <c r="F48" s="45"/>
      <c r="G48" s="46"/>
      <c r="H48" s="216"/>
      <c r="I48" s="249">
        <v>3132</v>
      </c>
      <c r="J48" s="9">
        <v>3092.4</v>
      </c>
      <c r="K48" s="49"/>
      <c r="L48" s="9">
        <v>3092.4</v>
      </c>
      <c r="M48" s="49"/>
      <c r="N48" s="49"/>
      <c r="O48" s="49"/>
      <c r="P48" s="49"/>
      <c r="Q48" s="49"/>
      <c r="R48" s="49"/>
      <c r="S48" s="49"/>
      <c r="T48" s="49"/>
      <c r="U48" s="49"/>
      <c r="V48" s="49"/>
      <c r="W48" s="49">
        <v>3092.4</v>
      </c>
      <c r="X48" s="40">
        <f t="shared" si="4"/>
        <v>0</v>
      </c>
    </row>
    <row r="49" spans="2:24" ht="47.25">
      <c r="B49" s="295"/>
      <c r="C49" s="295"/>
      <c r="D49" s="292"/>
      <c r="E49" s="268" t="s">
        <v>93</v>
      </c>
      <c r="F49" s="45"/>
      <c r="G49" s="46"/>
      <c r="H49" s="216"/>
      <c r="I49" s="249">
        <v>3132</v>
      </c>
      <c r="J49" s="9">
        <v>3942</v>
      </c>
      <c r="K49" s="49"/>
      <c r="L49" s="9">
        <v>3942</v>
      </c>
      <c r="M49" s="49"/>
      <c r="N49" s="49"/>
      <c r="O49" s="49"/>
      <c r="P49" s="49"/>
      <c r="Q49" s="49"/>
      <c r="R49" s="49"/>
      <c r="S49" s="49"/>
      <c r="T49" s="49"/>
      <c r="U49" s="49"/>
      <c r="V49" s="49"/>
      <c r="W49" s="49">
        <v>3942</v>
      </c>
      <c r="X49" s="40">
        <f t="shared" si="4"/>
        <v>0</v>
      </c>
    </row>
    <row r="50" spans="2:24" ht="47.25">
      <c r="B50" s="295"/>
      <c r="C50" s="295"/>
      <c r="D50" s="292"/>
      <c r="E50" s="268" t="s">
        <v>94</v>
      </c>
      <c r="F50" s="45"/>
      <c r="G50" s="46"/>
      <c r="H50" s="216"/>
      <c r="I50" s="249">
        <v>3132</v>
      </c>
      <c r="J50" s="9">
        <v>4126.8</v>
      </c>
      <c r="K50" s="49"/>
      <c r="L50" s="9">
        <v>4126.8</v>
      </c>
      <c r="M50" s="49"/>
      <c r="N50" s="49"/>
      <c r="O50" s="49"/>
      <c r="P50" s="49"/>
      <c r="Q50" s="49"/>
      <c r="R50" s="49"/>
      <c r="S50" s="49"/>
      <c r="T50" s="49"/>
      <c r="U50" s="49"/>
      <c r="V50" s="49"/>
      <c r="W50" s="49">
        <v>4126.8</v>
      </c>
      <c r="X50" s="40">
        <f t="shared" si="4"/>
        <v>0</v>
      </c>
    </row>
    <row r="51" spans="2:24" ht="47.25">
      <c r="B51" s="295"/>
      <c r="C51" s="295"/>
      <c r="D51" s="292"/>
      <c r="E51" s="268" t="s">
        <v>911</v>
      </c>
      <c r="F51" s="45"/>
      <c r="G51" s="46"/>
      <c r="H51" s="216"/>
      <c r="I51" s="249">
        <v>3132</v>
      </c>
      <c r="J51" s="9">
        <v>4129.2</v>
      </c>
      <c r="K51" s="49"/>
      <c r="L51" s="9">
        <v>4129.2</v>
      </c>
      <c r="M51" s="49"/>
      <c r="N51" s="49"/>
      <c r="O51" s="49"/>
      <c r="P51" s="49"/>
      <c r="Q51" s="49"/>
      <c r="R51" s="49"/>
      <c r="S51" s="49"/>
      <c r="T51" s="49"/>
      <c r="U51" s="49"/>
      <c r="V51" s="49"/>
      <c r="W51" s="49">
        <v>4129.2</v>
      </c>
      <c r="X51" s="40">
        <f t="shared" si="4"/>
        <v>0</v>
      </c>
    </row>
    <row r="52" spans="2:24" ht="47.25">
      <c r="B52" s="295"/>
      <c r="C52" s="295"/>
      <c r="D52" s="292"/>
      <c r="E52" s="268" t="s">
        <v>912</v>
      </c>
      <c r="F52" s="45"/>
      <c r="G52" s="46"/>
      <c r="H52" s="216"/>
      <c r="I52" s="249">
        <v>3132</v>
      </c>
      <c r="J52" s="9">
        <v>4170</v>
      </c>
      <c r="K52" s="49"/>
      <c r="L52" s="9">
        <v>4170</v>
      </c>
      <c r="M52" s="49"/>
      <c r="N52" s="49"/>
      <c r="O52" s="49"/>
      <c r="P52" s="49"/>
      <c r="Q52" s="49"/>
      <c r="R52" s="49"/>
      <c r="S52" s="49"/>
      <c r="T52" s="49"/>
      <c r="U52" s="49"/>
      <c r="V52" s="49"/>
      <c r="W52" s="49">
        <v>4170</v>
      </c>
      <c r="X52" s="40">
        <f t="shared" si="4"/>
        <v>0</v>
      </c>
    </row>
    <row r="53" spans="2:24" ht="47.25">
      <c r="B53" s="295"/>
      <c r="C53" s="295"/>
      <c r="D53" s="292"/>
      <c r="E53" s="268" t="s">
        <v>913</v>
      </c>
      <c r="F53" s="45"/>
      <c r="G53" s="46"/>
      <c r="H53" s="216"/>
      <c r="I53" s="249">
        <v>3132</v>
      </c>
      <c r="J53" s="9">
        <v>4170</v>
      </c>
      <c r="K53" s="49"/>
      <c r="L53" s="9">
        <v>4170</v>
      </c>
      <c r="M53" s="49"/>
      <c r="N53" s="49"/>
      <c r="O53" s="49"/>
      <c r="P53" s="49"/>
      <c r="Q53" s="49"/>
      <c r="R53" s="49"/>
      <c r="S53" s="49"/>
      <c r="T53" s="49"/>
      <c r="U53" s="49"/>
      <c r="V53" s="49"/>
      <c r="W53" s="49">
        <v>4170</v>
      </c>
      <c r="X53" s="40">
        <f t="shared" si="4"/>
        <v>0</v>
      </c>
    </row>
    <row r="54" spans="2:24" ht="47.25">
      <c r="B54" s="295"/>
      <c r="C54" s="295"/>
      <c r="D54" s="292"/>
      <c r="E54" s="268" t="s">
        <v>914</v>
      </c>
      <c r="F54" s="45"/>
      <c r="G54" s="46"/>
      <c r="H54" s="216"/>
      <c r="I54" s="249">
        <v>3132</v>
      </c>
      <c r="J54" s="9">
        <v>3943.2</v>
      </c>
      <c r="K54" s="49"/>
      <c r="L54" s="9">
        <v>3943.2</v>
      </c>
      <c r="M54" s="49"/>
      <c r="N54" s="49"/>
      <c r="O54" s="49"/>
      <c r="P54" s="49"/>
      <c r="Q54" s="49"/>
      <c r="R54" s="49"/>
      <c r="S54" s="49"/>
      <c r="T54" s="49"/>
      <c r="U54" s="49"/>
      <c r="V54" s="49"/>
      <c r="W54" s="49">
        <v>3943.2</v>
      </c>
      <c r="X54" s="40">
        <f t="shared" si="4"/>
        <v>0</v>
      </c>
    </row>
    <row r="55" spans="2:24" ht="47.25">
      <c r="B55" s="295"/>
      <c r="C55" s="295"/>
      <c r="D55" s="292"/>
      <c r="E55" s="268" t="s">
        <v>340</v>
      </c>
      <c r="F55" s="45"/>
      <c r="G55" s="46"/>
      <c r="H55" s="216"/>
      <c r="I55" s="249">
        <v>3132</v>
      </c>
      <c r="J55" s="9">
        <v>3943.2</v>
      </c>
      <c r="K55" s="49"/>
      <c r="L55" s="9">
        <v>3943.2</v>
      </c>
      <c r="M55" s="49"/>
      <c r="N55" s="49"/>
      <c r="O55" s="49"/>
      <c r="P55" s="49"/>
      <c r="Q55" s="49"/>
      <c r="R55" s="49"/>
      <c r="S55" s="49"/>
      <c r="T55" s="49"/>
      <c r="U55" s="49"/>
      <c r="V55" s="49"/>
      <c r="W55" s="49">
        <v>3943.2</v>
      </c>
      <c r="X55" s="40">
        <f t="shared" si="4"/>
        <v>0</v>
      </c>
    </row>
    <row r="56" spans="2:24" ht="47.25">
      <c r="B56" s="295"/>
      <c r="C56" s="295"/>
      <c r="D56" s="292"/>
      <c r="E56" s="268" t="s">
        <v>346</v>
      </c>
      <c r="F56" s="45"/>
      <c r="G56" s="46"/>
      <c r="H56" s="216"/>
      <c r="I56" s="249">
        <v>3132</v>
      </c>
      <c r="J56" s="9">
        <v>3903.6</v>
      </c>
      <c r="K56" s="49"/>
      <c r="L56" s="9">
        <v>3903.6</v>
      </c>
      <c r="M56" s="49"/>
      <c r="N56" s="49"/>
      <c r="O56" s="49"/>
      <c r="P56" s="49"/>
      <c r="Q56" s="49"/>
      <c r="R56" s="49"/>
      <c r="S56" s="49"/>
      <c r="T56" s="49"/>
      <c r="U56" s="49"/>
      <c r="V56" s="49"/>
      <c r="W56" s="49">
        <v>3903.6</v>
      </c>
      <c r="X56" s="40">
        <f t="shared" si="4"/>
        <v>0</v>
      </c>
    </row>
    <row r="57" spans="2:24" ht="47.25">
      <c r="B57" s="295"/>
      <c r="C57" s="295"/>
      <c r="D57" s="292"/>
      <c r="E57" s="268" t="s">
        <v>347</v>
      </c>
      <c r="F57" s="45"/>
      <c r="G57" s="46"/>
      <c r="H57" s="216"/>
      <c r="I57" s="249">
        <v>3132</v>
      </c>
      <c r="J57" s="9">
        <v>4135.2</v>
      </c>
      <c r="K57" s="49"/>
      <c r="L57" s="9">
        <v>4135.2</v>
      </c>
      <c r="M57" s="49"/>
      <c r="N57" s="49"/>
      <c r="O57" s="49"/>
      <c r="P57" s="49"/>
      <c r="Q57" s="49"/>
      <c r="R57" s="49"/>
      <c r="S57" s="49"/>
      <c r="T57" s="49"/>
      <c r="U57" s="49"/>
      <c r="V57" s="49"/>
      <c r="W57" s="49">
        <v>4135.2</v>
      </c>
      <c r="X57" s="40">
        <f t="shared" si="4"/>
        <v>0</v>
      </c>
    </row>
    <row r="58" spans="2:24" ht="47.25">
      <c r="B58" s="295"/>
      <c r="C58" s="295"/>
      <c r="D58" s="292"/>
      <c r="E58" s="268" t="s">
        <v>348</v>
      </c>
      <c r="F58" s="45"/>
      <c r="G58" s="46"/>
      <c r="H58" s="216"/>
      <c r="I58" s="249">
        <v>3132</v>
      </c>
      <c r="J58" s="9">
        <v>4202.4</v>
      </c>
      <c r="K58" s="49"/>
      <c r="L58" s="9">
        <v>4202.4</v>
      </c>
      <c r="M58" s="49"/>
      <c r="N58" s="49"/>
      <c r="O58" s="49"/>
      <c r="P58" s="49"/>
      <c r="Q58" s="49"/>
      <c r="R58" s="49"/>
      <c r="S58" s="49"/>
      <c r="T58" s="49"/>
      <c r="U58" s="49"/>
      <c r="V58" s="49"/>
      <c r="W58" s="49">
        <v>4202.4</v>
      </c>
      <c r="X58" s="40">
        <f t="shared" si="4"/>
        <v>0</v>
      </c>
    </row>
    <row r="59" spans="2:24" ht="47.25">
      <c r="B59" s="295"/>
      <c r="C59" s="295"/>
      <c r="D59" s="292"/>
      <c r="E59" s="267" t="s">
        <v>349</v>
      </c>
      <c r="F59" s="45"/>
      <c r="G59" s="46"/>
      <c r="H59" s="216"/>
      <c r="I59" s="249">
        <v>3110</v>
      </c>
      <c r="J59" s="9">
        <v>693600</v>
      </c>
      <c r="K59" s="49"/>
      <c r="L59" s="9">
        <v>693600</v>
      </c>
      <c r="M59" s="49"/>
      <c r="N59" s="49"/>
      <c r="O59" s="49"/>
      <c r="P59" s="49"/>
      <c r="Q59" s="49"/>
      <c r="R59" s="49"/>
      <c r="S59" s="49"/>
      <c r="T59" s="49"/>
      <c r="U59" s="49"/>
      <c r="V59" s="49"/>
      <c r="W59" s="49">
        <v>693600</v>
      </c>
      <c r="X59" s="40">
        <f t="shared" si="4"/>
        <v>0</v>
      </c>
    </row>
    <row r="60" spans="2:24" ht="31.5">
      <c r="B60" s="295"/>
      <c r="C60" s="295"/>
      <c r="D60" s="292"/>
      <c r="E60" s="273" t="s">
        <v>350</v>
      </c>
      <c r="F60" s="45"/>
      <c r="G60" s="46"/>
      <c r="H60" s="216"/>
      <c r="I60" s="249"/>
      <c r="J60" s="45">
        <f>J61</f>
        <v>189393.82</v>
      </c>
      <c r="K60" s="49"/>
      <c r="L60" s="45">
        <f>L61</f>
        <v>189393.82</v>
      </c>
      <c r="M60" s="49"/>
      <c r="N60" s="49"/>
      <c r="O60" s="49"/>
      <c r="P60" s="49"/>
      <c r="Q60" s="49"/>
      <c r="R60" s="49"/>
      <c r="S60" s="49"/>
      <c r="T60" s="49"/>
      <c r="U60" s="49"/>
      <c r="V60" s="49"/>
      <c r="W60" s="49">
        <f>W61</f>
        <v>189393.82</v>
      </c>
      <c r="X60" s="40">
        <f t="shared" si="4"/>
        <v>0</v>
      </c>
    </row>
    <row r="61" spans="2:24" ht="31.5">
      <c r="B61" s="295"/>
      <c r="C61" s="295"/>
      <c r="D61" s="292"/>
      <c r="E61" s="274" t="s">
        <v>351</v>
      </c>
      <c r="F61" s="45"/>
      <c r="G61" s="46"/>
      <c r="H61" s="216"/>
      <c r="I61" s="249">
        <v>3132</v>
      </c>
      <c r="J61" s="9">
        <v>189393.82</v>
      </c>
      <c r="K61" s="49"/>
      <c r="L61" s="9">
        <v>189393.82</v>
      </c>
      <c r="M61" s="49"/>
      <c r="N61" s="49"/>
      <c r="O61" s="49"/>
      <c r="P61" s="49"/>
      <c r="Q61" s="49"/>
      <c r="R61" s="49"/>
      <c r="S61" s="49"/>
      <c r="T61" s="49"/>
      <c r="U61" s="49"/>
      <c r="V61" s="49"/>
      <c r="W61" s="49">
        <v>189393.82</v>
      </c>
      <c r="X61" s="40">
        <f t="shared" si="4"/>
        <v>0</v>
      </c>
    </row>
    <row r="62" spans="2:24" ht="15.75">
      <c r="B62" s="295"/>
      <c r="C62" s="295"/>
      <c r="D62" s="292"/>
      <c r="E62" s="273" t="s">
        <v>352</v>
      </c>
      <c r="F62" s="45"/>
      <c r="G62" s="46"/>
      <c r="H62" s="216"/>
      <c r="I62" s="249"/>
      <c r="J62" s="45">
        <f>SUM(J63:J64)</f>
        <v>44341.87</v>
      </c>
      <c r="K62" s="49"/>
      <c r="L62" s="45">
        <f>SUM(L63:L64)</f>
        <v>44341.87</v>
      </c>
      <c r="M62" s="49"/>
      <c r="N62" s="49"/>
      <c r="O62" s="49"/>
      <c r="P62" s="49"/>
      <c r="Q62" s="49"/>
      <c r="R62" s="49"/>
      <c r="S62" s="49"/>
      <c r="T62" s="49"/>
      <c r="U62" s="49"/>
      <c r="V62" s="49"/>
      <c r="W62" s="49">
        <f>W63+W64</f>
        <v>44341.87</v>
      </c>
      <c r="X62" s="40">
        <f t="shared" si="4"/>
        <v>0</v>
      </c>
    </row>
    <row r="63" spans="2:24" ht="31.5">
      <c r="B63" s="295"/>
      <c r="C63" s="295"/>
      <c r="D63" s="292"/>
      <c r="E63" s="274" t="s">
        <v>293</v>
      </c>
      <c r="F63" s="45"/>
      <c r="G63" s="46"/>
      <c r="H63" s="216"/>
      <c r="I63" s="249">
        <v>3132</v>
      </c>
      <c r="J63" s="9">
        <v>41941.87</v>
      </c>
      <c r="K63" s="49"/>
      <c r="L63" s="9">
        <v>41941.87</v>
      </c>
      <c r="M63" s="49"/>
      <c r="N63" s="49"/>
      <c r="O63" s="49"/>
      <c r="P63" s="49"/>
      <c r="Q63" s="49"/>
      <c r="R63" s="49"/>
      <c r="S63" s="49"/>
      <c r="T63" s="49"/>
      <c r="U63" s="49"/>
      <c r="V63" s="49"/>
      <c r="W63" s="49">
        <v>41941.87</v>
      </c>
      <c r="X63" s="40">
        <f t="shared" si="4"/>
        <v>0</v>
      </c>
    </row>
    <row r="64" spans="2:24" ht="31.5">
      <c r="B64" s="295"/>
      <c r="C64" s="295"/>
      <c r="D64" s="292"/>
      <c r="E64" s="274" t="s">
        <v>675</v>
      </c>
      <c r="F64" s="45"/>
      <c r="G64" s="46"/>
      <c r="H64" s="216"/>
      <c r="I64" s="249">
        <v>3132</v>
      </c>
      <c r="J64" s="9">
        <v>2400</v>
      </c>
      <c r="K64" s="49"/>
      <c r="L64" s="9">
        <v>2400</v>
      </c>
      <c r="M64" s="49"/>
      <c r="N64" s="49"/>
      <c r="O64" s="49"/>
      <c r="P64" s="49"/>
      <c r="Q64" s="49"/>
      <c r="R64" s="49"/>
      <c r="S64" s="49"/>
      <c r="T64" s="49"/>
      <c r="U64" s="49"/>
      <c r="V64" s="49"/>
      <c r="W64" s="49">
        <v>2400</v>
      </c>
      <c r="X64" s="40">
        <f t="shared" si="4"/>
        <v>0</v>
      </c>
    </row>
    <row r="65" spans="2:24" ht="63">
      <c r="B65" s="295"/>
      <c r="C65" s="295"/>
      <c r="D65" s="292"/>
      <c r="E65" s="266" t="s">
        <v>596</v>
      </c>
      <c r="F65" s="45"/>
      <c r="G65" s="46"/>
      <c r="H65" s="216"/>
      <c r="I65" s="249">
        <v>3132</v>
      </c>
      <c r="J65" s="9">
        <v>4604.86</v>
      </c>
      <c r="K65" s="49"/>
      <c r="L65" s="9">
        <v>4604.86</v>
      </c>
      <c r="M65" s="49"/>
      <c r="N65" s="49"/>
      <c r="O65" s="49"/>
      <c r="P65" s="49"/>
      <c r="Q65" s="49"/>
      <c r="R65" s="49"/>
      <c r="S65" s="49"/>
      <c r="T65" s="49"/>
      <c r="U65" s="49"/>
      <c r="V65" s="49"/>
      <c r="W65" s="49">
        <v>4604.86</v>
      </c>
      <c r="X65" s="40">
        <f t="shared" si="4"/>
        <v>0</v>
      </c>
    </row>
    <row r="66" spans="2:24" ht="94.5">
      <c r="B66" s="295"/>
      <c r="C66" s="295"/>
      <c r="D66" s="292"/>
      <c r="E66" s="273" t="s">
        <v>463</v>
      </c>
      <c r="F66" s="45"/>
      <c r="G66" s="46"/>
      <c r="H66" s="216"/>
      <c r="I66" s="249">
        <v>3132</v>
      </c>
      <c r="J66" s="9">
        <v>1392</v>
      </c>
      <c r="K66" s="49"/>
      <c r="L66" s="9">
        <v>1392</v>
      </c>
      <c r="M66" s="49"/>
      <c r="N66" s="49"/>
      <c r="O66" s="49"/>
      <c r="P66" s="49"/>
      <c r="Q66" s="49"/>
      <c r="R66" s="49"/>
      <c r="S66" s="49"/>
      <c r="T66" s="49"/>
      <c r="U66" s="49"/>
      <c r="V66" s="49"/>
      <c r="W66" s="49">
        <v>1392</v>
      </c>
      <c r="X66" s="40">
        <f t="shared" si="4"/>
        <v>0</v>
      </c>
    </row>
    <row r="67" spans="2:24" ht="78.75">
      <c r="B67" s="295"/>
      <c r="C67" s="295"/>
      <c r="D67" s="292"/>
      <c r="E67" s="273" t="s">
        <v>464</v>
      </c>
      <c r="F67" s="45"/>
      <c r="G67" s="46"/>
      <c r="H67" s="216"/>
      <c r="I67" s="249">
        <v>3132</v>
      </c>
      <c r="J67" s="9">
        <v>1392</v>
      </c>
      <c r="K67" s="49"/>
      <c r="L67" s="9">
        <v>1392</v>
      </c>
      <c r="M67" s="49"/>
      <c r="N67" s="49"/>
      <c r="O67" s="49"/>
      <c r="P67" s="49"/>
      <c r="Q67" s="49"/>
      <c r="R67" s="49"/>
      <c r="S67" s="49"/>
      <c r="T67" s="49"/>
      <c r="U67" s="49"/>
      <c r="V67" s="49"/>
      <c r="W67" s="49">
        <v>1392</v>
      </c>
      <c r="X67" s="40">
        <f t="shared" si="4"/>
        <v>0</v>
      </c>
    </row>
    <row r="68" spans="2:24" ht="78.75">
      <c r="B68" s="295"/>
      <c r="C68" s="295"/>
      <c r="D68" s="292"/>
      <c r="E68" s="273" t="s">
        <v>465</v>
      </c>
      <c r="F68" s="45"/>
      <c r="G68" s="46"/>
      <c r="H68" s="216"/>
      <c r="I68" s="249">
        <v>3132</v>
      </c>
      <c r="J68" s="9">
        <v>1392</v>
      </c>
      <c r="K68" s="49"/>
      <c r="L68" s="9">
        <v>1392</v>
      </c>
      <c r="M68" s="49"/>
      <c r="N68" s="49"/>
      <c r="O68" s="49"/>
      <c r="P68" s="49"/>
      <c r="Q68" s="49"/>
      <c r="R68" s="49"/>
      <c r="S68" s="49"/>
      <c r="T68" s="49"/>
      <c r="U68" s="49"/>
      <c r="V68" s="49"/>
      <c r="W68" s="49">
        <v>1392</v>
      </c>
      <c r="X68" s="40">
        <f t="shared" si="4"/>
        <v>0</v>
      </c>
    </row>
    <row r="69" spans="2:24" ht="78.75">
      <c r="B69" s="295"/>
      <c r="C69" s="295"/>
      <c r="D69" s="292"/>
      <c r="E69" s="273" t="s">
        <v>896</v>
      </c>
      <c r="F69" s="45"/>
      <c r="G69" s="46"/>
      <c r="H69" s="216"/>
      <c r="I69" s="249">
        <v>3132</v>
      </c>
      <c r="J69" s="9">
        <v>1392</v>
      </c>
      <c r="K69" s="49"/>
      <c r="L69" s="9">
        <v>1392</v>
      </c>
      <c r="M69" s="49"/>
      <c r="N69" s="49"/>
      <c r="O69" s="49"/>
      <c r="P69" s="49"/>
      <c r="Q69" s="49"/>
      <c r="R69" s="49"/>
      <c r="S69" s="49"/>
      <c r="T69" s="49"/>
      <c r="U69" s="49"/>
      <c r="V69" s="49"/>
      <c r="W69" s="49">
        <v>1392</v>
      </c>
      <c r="X69" s="40">
        <f t="shared" si="4"/>
        <v>0</v>
      </c>
    </row>
    <row r="70" spans="2:24" ht="31.5">
      <c r="B70" s="295"/>
      <c r="C70" s="295"/>
      <c r="D70" s="292"/>
      <c r="E70" s="273" t="s">
        <v>40</v>
      </c>
      <c r="F70" s="45"/>
      <c r="G70" s="46"/>
      <c r="H70" s="216"/>
      <c r="I70" s="249"/>
      <c r="J70" s="45">
        <f>SUM(J71:J72)</f>
        <v>2784</v>
      </c>
      <c r="K70" s="49"/>
      <c r="L70" s="45">
        <f>SUM(L71:L72)</f>
        <v>2784</v>
      </c>
      <c r="M70" s="49"/>
      <c r="N70" s="49"/>
      <c r="O70" s="49"/>
      <c r="P70" s="49"/>
      <c r="Q70" s="49"/>
      <c r="R70" s="49"/>
      <c r="S70" s="49"/>
      <c r="T70" s="49"/>
      <c r="U70" s="49"/>
      <c r="V70" s="49"/>
      <c r="W70" s="49">
        <f>W71+W72</f>
        <v>2784</v>
      </c>
      <c r="X70" s="40">
        <f t="shared" si="4"/>
        <v>0</v>
      </c>
    </row>
    <row r="71" spans="2:24" ht="31.5">
      <c r="B71" s="295"/>
      <c r="C71" s="295"/>
      <c r="D71" s="292"/>
      <c r="E71" s="274" t="s">
        <v>41</v>
      </c>
      <c r="F71" s="45"/>
      <c r="G71" s="46"/>
      <c r="H71" s="216"/>
      <c r="I71" s="249">
        <v>3132</v>
      </c>
      <c r="J71" s="9">
        <v>1392</v>
      </c>
      <c r="K71" s="49"/>
      <c r="L71" s="9">
        <v>1392</v>
      </c>
      <c r="M71" s="49"/>
      <c r="N71" s="49"/>
      <c r="O71" s="49"/>
      <c r="P71" s="49"/>
      <c r="Q71" s="49"/>
      <c r="R71" s="49"/>
      <c r="S71" s="49"/>
      <c r="T71" s="49"/>
      <c r="U71" s="49"/>
      <c r="V71" s="49"/>
      <c r="W71" s="49">
        <v>1392</v>
      </c>
      <c r="X71" s="40">
        <f t="shared" si="4"/>
        <v>0</v>
      </c>
    </row>
    <row r="72" spans="2:24" ht="31.5">
      <c r="B72" s="295"/>
      <c r="C72" s="295"/>
      <c r="D72" s="292"/>
      <c r="E72" s="274" t="s">
        <v>824</v>
      </c>
      <c r="F72" s="45"/>
      <c r="G72" s="46"/>
      <c r="H72" s="216"/>
      <c r="I72" s="249">
        <v>3132</v>
      </c>
      <c r="J72" s="9">
        <v>1392</v>
      </c>
      <c r="K72" s="49"/>
      <c r="L72" s="9">
        <v>1392</v>
      </c>
      <c r="M72" s="49"/>
      <c r="N72" s="49"/>
      <c r="O72" s="49"/>
      <c r="P72" s="49"/>
      <c r="Q72" s="49"/>
      <c r="R72" s="49"/>
      <c r="S72" s="49"/>
      <c r="T72" s="49"/>
      <c r="U72" s="49"/>
      <c r="V72" s="49"/>
      <c r="W72" s="49">
        <v>1392</v>
      </c>
      <c r="X72" s="40">
        <f t="shared" si="4"/>
        <v>0</v>
      </c>
    </row>
    <row r="73" spans="2:24" ht="47.25">
      <c r="B73" s="295"/>
      <c r="C73" s="295"/>
      <c r="D73" s="292"/>
      <c r="E73" s="273" t="s">
        <v>825</v>
      </c>
      <c r="F73" s="45"/>
      <c r="G73" s="46"/>
      <c r="H73" s="216"/>
      <c r="I73" s="249">
        <v>3132</v>
      </c>
      <c r="J73" s="9">
        <v>10105.4</v>
      </c>
      <c r="K73" s="49"/>
      <c r="L73" s="9">
        <v>10105.4</v>
      </c>
      <c r="M73" s="49"/>
      <c r="N73" s="49"/>
      <c r="O73" s="49"/>
      <c r="P73" s="49"/>
      <c r="Q73" s="49"/>
      <c r="R73" s="49"/>
      <c r="S73" s="49"/>
      <c r="T73" s="49"/>
      <c r="U73" s="49"/>
      <c r="V73" s="49"/>
      <c r="W73" s="49">
        <v>10105.4</v>
      </c>
      <c r="X73" s="40">
        <f t="shared" si="4"/>
        <v>0</v>
      </c>
    </row>
    <row r="74" spans="2:24" ht="78.75">
      <c r="B74" s="295"/>
      <c r="C74" s="295"/>
      <c r="D74" s="292"/>
      <c r="E74" s="31" t="s">
        <v>192</v>
      </c>
      <c r="F74" s="45"/>
      <c r="G74" s="46"/>
      <c r="H74" s="216"/>
      <c r="I74" s="249">
        <v>3110</v>
      </c>
      <c r="J74" s="9">
        <v>25000</v>
      </c>
      <c r="K74" s="49"/>
      <c r="L74" s="49"/>
      <c r="M74" s="49"/>
      <c r="N74" s="49">
        <v>25000</v>
      </c>
      <c r="O74" s="49"/>
      <c r="P74" s="49"/>
      <c r="Q74" s="49"/>
      <c r="R74" s="49"/>
      <c r="S74" s="49"/>
      <c r="T74" s="49"/>
      <c r="U74" s="49"/>
      <c r="V74" s="49"/>
      <c r="W74" s="49">
        <v>25000</v>
      </c>
      <c r="X74" s="40">
        <f t="shared" si="4"/>
        <v>0</v>
      </c>
    </row>
    <row r="75" spans="2:24" ht="31.5">
      <c r="B75" s="295"/>
      <c r="C75" s="295"/>
      <c r="D75" s="292"/>
      <c r="E75" s="31" t="s">
        <v>147</v>
      </c>
      <c r="F75" s="45"/>
      <c r="G75" s="46"/>
      <c r="H75" s="216"/>
      <c r="I75" s="249">
        <v>3132</v>
      </c>
      <c r="J75" s="9">
        <f>350000-200000</f>
        <v>150000</v>
      </c>
      <c r="K75" s="200"/>
      <c r="L75" s="200"/>
      <c r="M75" s="200"/>
      <c r="N75" s="200"/>
      <c r="O75" s="200">
        <v>10000</v>
      </c>
      <c r="P75" s="200"/>
      <c r="Q75" s="200">
        <f>110000-20000</f>
        <v>90000</v>
      </c>
      <c r="R75" s="200"/>
      <c r="S75" s="200">
        <f>180000-180000</f>
        <v>0</v>
      </c>
      <c r="T75" s="200">
        <v>-73000</v>
      </c>
      <c r="U75" s="200">
        <v>73000</v>
      </c>
      <c r="V75" s="200">
        <v>50000</v>
      </c>
      <c r="W75" s="49">
        <f>22969</f>
        <v>22969</v>
      </c>
      <c r="X75" s="40">
        <f t="shared" si="4"/>
        <v>4031</v>
      </c>
    </row>
    <row r="76" spans="2:24" ht="31.5">
      <c r="B76" s="295"/>
      <c r="C76" s="295"/>
      <c r="D76" s="292"/>
      <c r="E76" s="31" t="s">
        <v>717</v>
      </c>
      <c r="F76" s="45"/>
      <c r="G76" s="46"/>
      <c r="H76" s="216"/>
      <c r="I76" s="249">
        <v>3132</v>
      </c>
      <c r="J76" s="9">
        <v>350000</v>
      </c>
      <c r="K76" s="200"/>
      <c r="L76" s="200"/>
      <c r="M76" s="200"/>
      <c r="N76" s="200"/>
      <c r="O76" s="200">
        <v>10000</v>
      </c>
      <c r="P76" s="200"/>
      <c r="Q76" s="200">
        <f>10000+5000</f>
        <v>15000</v>
      </c>
      <c r="R76" s="200">
        <f>330000-5000</f>
        <v>325000</v>
      </c>
      <c r="S76" s="200"/>
      <c r="T76" s="200"/>
      <c r="U76" s="200"/>
      <c r="V76" s="200"/>
      <c r="W76" s="49">
        <f>11900+10901+233592.1</f>
        <v>256393.1</v>
      </c>
      <c r="X76" s="40">
        <f t="shared" si="4"/>
        <v>93606.9</v>
      </c>
    </row>
    <row r="77" spans="2:24" ht="15.75">
      <c r="B77" s="295"/>
      <c r="C77" s="295"/>
      <c r="D77" s="292"/>
      <c r="E77" s="31" t="s">
        <v>718</v>
      </c>
      <c r="F77" s="45"/>
      <c r="G77" s="46"/>
      <c r="H77" s="216"/>
      <c r="I77" s="249">
        <v>3132</v>
      </c>
      <c r="J77" s="9">
        <f>150000+75000</f>
        <v>225000</v>
      </c>
      <c r="K77" s="200"/>
      <c r="L77" s="200"/>
      <c r="M77" s="200"/>
      <c r="N77" s="200"/>
      <c r="O77" s="200">
        <v>10000</v>
      </c>
      <c r="P77" s="200"/>
      <c r="Q77" s="200">
        <v>60000</v>
      </c>
      <c r="R77" s="200">
        <v>80000</v>
      </c>
      <c r="S77" s="200">
        <v>75000</v>
      </c>
      <c r="T77" s="200"/>
      <c r="U77" s="200"/>
      <c r="V77" s="200"/>
      <c r="W77" s="49">
        <f>1050+2450+71500+141114.8</f>
        <v>216114.8</v>
      </c>
      <c r="X77" s="40">
        <f t="shared" si="4"/>
        <v>8885.200000000012</v>
      </c>
    </row>
    <row r="78" spans="2:24" ht="63">
      <c r="B78" s="295"/>
      <c r="C78" s="295"/>
      <c r="D78" s="292"/>
      <c r="E78" s="31" t="s">
        <v>149</v>
      </c>
      <c r="F78" s="45"/>
      <c r="G78" s="46"/>
      <c r="H78" s="216"/>
      <c r="I78" s="249">
        <v>3132</v>
      </c>
      <c r="J78" s="9">
        <v>400000</v>
      </c>
      <c r="K78" s="200"/>
      <c r="L78" s="200"/>
      <c r="M78" s="200"/>
      <c r="N78" s="200"/>
      <c r="O78" s="200">
        <v>10000</v>
      </c>
      <c r="P78" s="200">
        <v>-8556</v>
      </c>
      <c r="Q78" s="200">
        <f>110000+2556-45000</f>
        <v>67556</v>
      </c>
      <c r="R78" s="200">
        <f>261900+6000+45000</f>
        <v>312900</v>
      </c>
      <c r="S78" s="200">
        <v>18100</v>
      </c>
      <c r="T78" s="200"/>
      <c r="U78" s="200"/>
      <c r="V78" s="200"/>
      <c r="W78" s="49">
        <f>1320+187570.5</f>
        <v>188890.5</v>
      </c>
      <c r="X78" s="40">
        <f t="shared" si="4"/>
        <v>211109.5</v>
      </c>
    </row>
    <row r="79" spans="2:24" ht="47.25">
      <c r="B79" s="295"/>
      <c r="C79" s="295"/>
      <c r="D79" s="292"/>
      <c r="E79" s="31" t="s">
        <v>719</v>
      </c>
      <c r="F79" s="45"/>
      <c r="G79" s="46"/>
      <c r="H79" s="216"/>
      <c r="I79" s="249">
        <v>3132</v>
      </c>
      <c r="J79" s="9">
        <v>637500</v>
      </c>
      <c r="K79" s="200"/>
      <c r="L79" s="200"/>
      <c r="M79" s="200"/>
      <c r="N79" s="200"/>
      <c r="O79" s="200">
        <v>10000</v>
      </c>
      <c r="P79" s="200"/>
      <c r="Q79" s="200">
        <f>10000+189000</f>
        <v>199000</v>
      </c>
      <c r="R79" s="200">
        <f>617500-189000</f>
        <v>428500</v>
      </c>
      <c r="S79" s="200"/>
      <c r="T79" s="200"/>
      <c r="U79" s="200"/>
      <c r="V79" s="200"/>
      <c r="W79" s="49">
        <f>300+188062.56+179124.24+5678.78+259688.4</f>
        <v>632853.98</v>
      </c>
      <c r="X79" s="40">
        <f t="shared" si="4"/>
        <v>4646.020000000019</v>
      </c>
    </row>
    <row r="80" spans="2:24" ht="47.25">
      <c r="B80" s="295"/>
      <c r="C80" s="295"/>
      <c r="D80" s="292"/>
      <c r="E80" s="31" t="s">
        <v>720</v>
      </c>
      <c r="F80" s="45"/>
      <c r="G80" s="46"/>
      <c r="H80" s="216"/>
      <c r="I80" s="249">
        <v>3132</v>
      </c>
      <c r="J80" s="9">
        <v>100000</v>
      </c>
      <c r="K80" s="200"/>
      <c r="L80" s="200"/>
      <c r="M80" s="200"/>
      <c r="N80" s="200"/>
      <c r="O80" s="200">
        <v>10000</v>
      </c>
      <c r="P80" s="200"/>
      <c r="Q80" s="200">
        <v>10000</v>
      </c>
      <c r="R80" s="200">
        <v>80000</v>
      </c>
      <c r="S80" s="200"/>
      <c r="T80" s="200"/>
      <c r="U80" s="200"/>
      <c r="V80" s="200"/>
      <c r="W80" s="49">
        <f>2151+4951.8+45748.5+716.83</f>
        <v>53568.130000000005</v>
      </c>
      <c r="X80" s="40">
        <f t="shared" si="4"/>
        <v>46431.869999999995</v>
      </c>
    </row>
    <row r="81" spans="2:24" ht="47.25">
      <c r="B81" s="295"/>
      <c r="C81" s="295"/>
      <c r="D81" s="292"/>
      <c r="E81" s="31" t="s">
        <v>591</v>
      </c>
      <c r="F81" s="45"/>
      <c r="G81" s="46"/>
      <c r="H81" s="216"/>
      <c r="I81" s="249">
        <v>3132</v>
      </c>
      <c r="J81" s="9">
        <f>150000+157000</f>
        <v>307000</v>
      </c>
      <c r="K81" s="200"/>
      <c r="L81" s="200"/>
      <c r="M81" s="200"/>
      <c r="N81" s="200"/>
      <c r="O81" s="200">
        <v>10000</v>
      </c>
      <c r="P81" s="200"/>
      <c r="Q81" s="200">
        <v>42000</v>
      </c>
      <c r="R81" s="200">
        <v>98000</v>
      </c>
      <c r="S81" s="200">
        <v>157000</v>
      </c>
      <c r="T81" s="200"/>
      <c r="U81" s="200"/>
      <c r="V81" s="200"/>
      <c r="W81" s="49">
        <f>2556+72592+72592+72592+72592+1121.14</f>
        <v>294045.14</v>
      </c>
      <c r="X81" s="40">
        <f t="shared" si="4"/>
        <v>12954.859999999986</v>
      </c>
    </row>
    <row r="82" spans="2:24" ht="47.25">
      <c r="B82" s="295"/>
      <c r="C82" s="295"/>
      <c r="D82" s="292"/>
      <c r="E82" s="31" t="s">
        <v>592</v>
      </c>
      <c r="F82" s="45"/>
      <c r="G82" s="46"/>
      <c r="H82" s="216"/>
      <c r="I82" s="249">
        <v>3132</v>
      </c>
      <c r="J82" s="9">
        <v>110000</v>
      </c>
      <c r="K82" s="200"/>
      <c r="L82" s="200"/>
      <c r="M82" s="200"/>
      <c r="N82" s="200"/>
      <c r="O82" s="200">
        <v>10000</v>
      </c>
      <c r="P82" s="200"/>
      <c r="Q82" s="200">
        <v>100000</v>
      </c>
      <c r="R82" s="200"/>
      <c r="S82" s="200">
        <v>-60000</v>
      </c>
      <c r="T82" s="200">
        <f>-13000</f>
        <v>-13000</v>
      </c>
      <c r="U82" s="200">
        <f>30000+13000</f>
        <v>43000</v>
      </c>
      <c r="V82" s="200">
        <v>30000</v>
      </c>
      <c r="W82" s="49"/>
      <c r="X82" s="40">
        <f t="shared" si="4"/>
        <v>37000</v>
      </c>
    </row>
    <row r="83" spans="2:24" ht="47.25">
      <c r="B83" s="295"/>
      <c r="C83" s="295"/>
      <c r="D83" s="292"/>
      <c r="E83" s="31" t="s">
        <v>517</v>
      </c>
      <c r="F83" s="45"/>
      <c r="G83" s="46"/>
      <c r="H83" s="216"/>
      <c r="I83" s="249">
        <v>3132</v>
      </c>
      <c r="J83" s="9">
        <v>110000</v>
      </c>
      <c r="K83" s="200"/>
      <c r="L83" s="200"/>
      <c r="M83" s="200"/>
      <c r="N83" s="200"/>
      <c r="O83" s="200">
        <v>10000</v>
      </c>
      <c r="P83" s="200"/>
      <c r="Q83" s="200">
        <v>100000</v>
      </c>
      <c r="R83" s="200"/>
      <c r="S83" s="200"/>
      <c r="T83" s="200"/>
      <c r="U83" s="200"/>
      <c r="V83" s="200"/>
      <c r="W83" s="49"/>
      <c r="X83" s="40">
        <f t="shared" si="4"/>
        <v>110000</v>
      </c>
    </row>
    <row r="84" spans="2:24" ht="31.5">
      <c r="B84" s="295"/>
      <c r="C84" s="295"/>
      <c r="D84" s="292"/>
      <c r="E84" s="31" t="s">
        <v>518</v>
      </c>
      <c r="F84" s="45"/>
      <c r="G84" s="46"/>
      <c r="H84" s="216"/>
      <c r="I84" s="249">
        <v>3132</v>
      </c>
      <c r="J84" s="9">
        <f>4190000-1385000-125000-210000</f>
        <v>2470000</v>
      </c>
      <c r="K84" s="200"/>
      <c r="L84" s="200"/>
      <c r="M84" s="200"/>
      <c r="N84" s="200"/>
      <c r="O84" s="200">
        <v>10000</v>
      </c>
      <c r="P84" s="200">
        <v>11064</v>
      </c>
      <c r="Q84" s="200">
        <f>718936-400000-189000</f>
        <v>129936</v>
      </c>
      <c r="R84" s="200">
        <f>3300000-985000+189000</f>
        <v>2504000</v>
      </c>
      <c r="S84" s="200">
        <f>-52000-125000</f>
        <v>-177000</v>
      </c>
      <c r="T84" s="200">
        <v>-210000</v>
      </c>
      <c r="U84" s="200">
        <v>52000</v>
      </c>
      <c r="V84" s="200">
        <v>150000</v>
      </c>
      <c r="W84" s="49">
        <f>10732.8+21465.6+13537.02+3900+7800+52001.36+1950</f>
        <v>111386.78</v>
      </c>
      <c r="X84" s="40">
        <f t="shared" si="4"/>
        <v>2156613.22</v>
      </c>
    </row>
    <row r="85" spans="2:24" ht="31.5">
      <c r="B85" s="295"/>
      <c r="C85" s="295"/>
      <c r="D85" s="292"/>
      <c r="E85" s="31" t="s">
        <v>669</v>
      </c>
      <c r="F85" s="45"/>
      <c r="G85" s="46"/>
      <c r="H85" s="216"/>
      <c r="I85" s="249">
        <v>3110</v>
      </c>
      <c r="J85" s="9">
        <v>60000</v>
      </c>
      <c r="K85" s="200"/>
      <c r="L85" s="200"/>
      <c r="M85" s="200"/>
      <c r="N85" s="200"/>
      <c r="O85" s="200"/>
      <c r="P85" s="200"/>
      <c r="Q85" s="200"/>
      <c r="R85" s="200">
        <v>60000</v>
      </c>
      <c r="S85" s="200"/>
      <c r="T85" s="200"/>
      <c r="U85" s="200"/>
      <c r="V85" s="200"/>
      <c r="W85" s="49"/>
      <c r="X85" s="40">
        <f aca="true" t="shared" si="10" ref="X85:X153">K85+L85+M85+N85+O85+P85+Q85+R85+S85+T85-W85</f>
        <v>60000</v>
      </c>
    </row>
    <row r="86" spans="2:24" ht="31.5">
      <c r="B86" s="295"/>
      <c r="C86" s="295"/>
      <c r="D86" s="292"/>
      <c r="E86" s="31" t="s">
        <v>656</v>
      </c>
      <c r="F86" s="45"/>
      <c r="G86" s="46"/>
      <c r="H86" s="216"/>
      <c r="I86" s="249">
        <v>3110</v>
      </c>
      <c r="J86" s="9">
        <v>600000</v>
      </c>
      <c r="K86" s="200"/>
      <c r="L86" s="200"/>
      <c r="M86" s="200"/>
      <c r="N86" s="200"/>
      <c r="O86" s="200"/>
      <c r="P86" s="200"/>
      <c r="Q86" s="200"/>
      <c r="R86" s="200">
        <v>600000</v>
      </c>
      <c r="S86" s="200"/>
      <c r="T86" s="200"/>
      <c r="U86" s="200"/>
      <c r="V86" s="200"/>
      <c r="W86" s="49"/>
      <c r="X86" s="40">
        <f t="shared" si="10"/>
        <v>600000</v>
      </c>
    </row>
    <row r="87" spans="2:24" ht="47.25">
      <c r="B87" s="295"/>
      <c r="C87" s="295"/>
      <c r="D87" s="292"/>
      <c r="E87" s="12" t="s">
        <v>722</v>
      </c>
      <c r="F87" s="45"/>
      <c r="G87" s="46"/>
      <c r="H87" s="216"/>
      <c r="I87" s="249">
        <v>3110</v>
      </c>
      <c r="J87" s="9">
        <v>20000</v>
      </c>
      <c r="K87" s="200"/>
      <c r="L87" s="200"/>
      <c r="M87" s="200"/>
      <c r="N87" s="200"/>
      <c r="O87" s="200"/>
      <c r="P87" s="200"/>
      <c r="Q87" s="200">
        <v>20000</v>
      </c>
      <c r="R87" s="200"/>
      <c r="S87" s="200"/>
      <c r="T87" s="200"/>
      <c r="U87" s="200"/>
      <c r="V87" s="200"/>
      <c r="W87" s="49"/>
      <c r="X87" s="40">
        <f t="shared" si="10"/>
        <v>20000</v>
      </c>
    </row>
    <row r="88" spans="2:24" ht="47.25">
      <c r="B88" s="295"/>
      <c r="C88" s="295"/>
      <c r="D88" s="292"/>
      <c r="E88" s="12" t="s">
        <v>330</v>
      </c>
      <c r="F88" s="45"/>
      <c r="G88" s="46"/>
      <c r="H88" s="216"/>
      <c r="I88" s="249">
        <v>3110</v>
      </c>
      <c r="J88" s="9">
        <v>10000</v>
      </c>
      <c r="K88" s="200"/>
      <c r="L88" s="200"/>
      <c r="M88" s="200"/>
      <c r="N88" s="200"/>
      <c r="O88" s="200"/>
      <c r="P88" s="200"/>
      <c r="Q88" s="200">
        <v>10000</v>
      </c>
      <c r="R88" s="200"/>
      <c r="S88" s="200"/>
      <c r="T88" s="200"/>
      <c r="U88" s="200"/>
      <c r="V88" s="200"/>
      <c r="W88" s="49"/>
      <c r="X88" s="40">
        <f t="shared" si="10"/>
        <v>10000</v>
      </c>
    </row>
    <row r="89" spans="2:24" ht="63">
      <c r="B89" s="295"/>
      <c r="C89" s="295"/>
      <c r="D89" s="292"/>
      <c r="E89" s="12" t="s">
        <v>331</v>
      </c>
      <c r="F89" s="45"/>
      <c r="G89" s="46"/>
      <c r="H89" s="216"/>
      <c r="I89" s="249">
        <v>3110</v>
      </c>
      <c r="J89" s="9">
        <v>93000</v>
      </c>
      <c r="K89" s="200"/>
      <c r="L89" s="200"/>
      <c r="M89" s="200"/>
      <c r="N89" s="200"/>
      <c r="O89" s="200"/>
      <c r="P89" s="200"/>
      <c r="Q89" s="200">
        <v>93000</v>
      </c>
      <c r="R89" s="200"/>
      <c r="S89" s="200"/>
      <c r="T89" s="200"/>
      <c r="U89" s="200"/>
      <c r="V89" s="200"/>
      <c r="W89" s="49"/>
      <c r="X89" s="40">
        <f t="shared" si="10"/>
        <v>93000</v>
      </c>
    </row>
    <row r="90" spans="2:24" ht="63">
      <c r="B90" s="295"/>
      <c r="C90" s="295"/>
      <c r="D90" s="292"/>
      <c r="E90" s="12" t="s">
        <v>329</v>
      </c>
      <c r="F90" s="45"/>
      <c r="G90" s="46"/>
      <c r="H90" s="216"/>
      <c r="I90" s="249">
        <v>3110</v>
      </c>
      <c r="J90" s="9">
        <v>76000</v>
      </c>
      <c r="K90" s="200"/>
      <c r="L90" s="200"/>
      <c r="M90" s="200"/>
      <c r="N90" s="200"/>
      <c r="O90" s="200"/>
      <c r="P90" s="200"/>
      <c r="Q90" s="200">
        <v>76000</v>
      </c>
      <c r="R90" s="200"/>
      <c r="S90" s="200"/>
      <c r="T90" s="200"/>
      <c r="U90" s="200"/>
      <c r="V90" s="200"/>
      <c r="W90" s="49"/>
      <c r="X90" s="40">
        <f t="shared" si="10"/>
        <v>76000</v>
      </c>
    </row>
    <row r="91" spans="2:24" ht="47.25">
      <c r="B91" s="295"/>
      <c r="C91" s="295"/>
      <c r="D91" s="292"/>
      <c r="E91" s="12" t="s">
        <v>156</v>
      </c>
      <c r="F91" s="45"/>
      <c r="G91" s="46"/>
      <c r="H91" s="216"/>
      <c r="I91" s="249">
        <v>3110</v>
      </c>
      <c r="J91" s="9">
        <v>40000</v>
      </c>
      <c r="K91" s="200"/>
      <c r="L91" s="200"/>
      <c r="M91" s="200"/>
      <c r="N91" s="200"/>
      <c r="O91" s="200"/>
      <c r="P91" s="200"/>
      <c r="Q91" s="200">
        <v>40000</v>
      </c>
      <c r="R91" s="200"/>
      <c r="S91" s="200"/>
      <c r="T91" s="200"/>
      <c r="U91" s="200"/>
      <c r="V91" s="200"/>
      <c r="W91" s="49"/>
      <c r="X91" s="40">
        <f t="shared" si="10"/>
        <v>40000</v>
      </c>
    </row>
    <row r="92" spans="2:24" ht="47.25">
      <c r="B92" s="295"/>
      <c r="C92" s="295"/>
      <c r="D92" s="292"/>
      <c r="E92" s="31" t="s">
        <v>157</v>
      </c>
      <c r="F92" s="21">
        <v>520000</v>
      </c>
      <c r="G92" s="18">
        <f>100%-((F92-H92)/F92)</f>
        <v>0.8653846153846154</v>
      </c>
      <c r="H92" s="217">
        <v>450000</v>
      </c>
      <c r="I92" s="249">
        <v>3132</v>
      </c>
      <c r="J92" s="21">
        <f>200000+247000</f>
        <v>447000</v>
      </c>
      <c r="K92" s="200"/>
      <c r="L92" s="200"/>
      <c r="M92" s="200"/>
      <c r="N92" s="200"/>
      <c r="O92" s="200"/>
      <c r="P92" s="200">
        <v>2556</v>
      </c>
      <c r="Q92" s="200">
        <f>200000-2556</f>
        <v>197444</v>
      </c>
      <c r="R92" s="200"/>
      <c r="S92" s="200">
        <v>247000</v>
      </c>
      <c r="T92" s="200"/>
      <c r="U92" s="200"/>
      <c r="V92" s="200"/>
      <c r="W92" s="49">
        <f>99450.5+96894.5+1843.45+112380.7</f>
        <v>310569.15</v>
      </c>
      <c r="X92" s="40">
        <f t="shared" si="10"/>
        <v>136430.84999999998</v>
      </c>
    </row>
    <row r="93" spans="2:24" ht="47.25">
      <c r="B93" s="295"/>
      <c r="C93" s="295"/>
      <c r="D93" s="292"/>
      <c r="E93" s="31" t="s">
        <v>90</v>
      </c>
      <c r="F93" s="21">
        <v>715000</v>
      </c>
      <c r="G93" s="18">
        <f>100%-((F93-H93)/F93)</f>
        <v>1</v>
      </c>
      <c r="H93" s="217">
        <v>715000</v>
      </c>
      <c r="I93" s="249">
        <v>3132</v>
      </c>
      <c r="J93" s="21">
        <f>715000+235000</f>
        <v>950000</v>
      </c>
      <c r="K93" s="200"/>
      <c r="L93" s="200"/>
      <c r="M93" s="200"/>
      <c r="N93" s="200"/>
      <c r="O93" s="200"/>
      <c r="P93" s="200"/>
      <c r="Q93" s="200">
        <v>715000</v>
      </c>
      <c r="R93" s="200">
        <f>235000</f>
        <v>235000</v>
      </c>
      <c r="S93" s="200"/>
      <c r="T93" s="200"/>
      <c r="U93" s="200"/>
      <c r="V93" s="200"/>
      <c r="W93" s="49">
        <f>18131+345252+356417</f>
        <v>719800</v>
      </c>
      <c r="X93" s="40">
        <f t="shared" si="10"/>
        <v>230200</v>
      </c>
    </row>
    <row r="94" spans="2:24" ht="63">
      <c r="B94" s="295"/>
      <c r="C94" s="295"/>
      <c r="D94" s="292"/>
      <c r="E94" s="31" t="s">
        <v>166</v>
      </c>
      <c r="F94" s="21">
        <v>600000</v>
      </c>
      <c r="G94" s="18">
        <f>100%-((F94-H94)/F94)</f>
        <v>1</v>
      </c>
      <c r="H94" s="217">
        <v>600000</v>
      </c>
      <c r="I94" s="249">
        <v>3132</v>
      </c>
      <c r="J94" s="21">
        <f>600000+247000</f>
        <v>847000</v>
      </c>
      <c r="K94" s="200"/>
      <c r="L94" s="200"/>
      <c r="M94" s="200"/>
      <c r="N94" s="200"/>
      <c r="O94" s="200"/>
      <c r="P94" s="200"/>
      <c r="Q94" s="200">
        <f>600000-280000</f>
        <v>320000</v>
      </c>
      <c r="R94" s="200">
        <v>280000</v>
      </c>
      <c r="S94" s="200">
        <v>247000</v>
      </c>
      <c r="T94" s="200"/>
      <c r="U94" s="200"/>
      <c r="V94" s="200"/>
      <c r="W94" s="49">
        <f>2556+399344.4+167505.24+165058.8</f>
        <v>734464.44</v>
      </c>
      <c r="X94" s="40">
        <f t="shared" si="10"/>
        <v>112535.56000000006</v>
      </c>
    </row>
    <row r="95" spans="2:24" ht="15.75">
      <c r="B95" s="295"/>
      <c r="C95" s="295"/>
      <c r="D95" s="292"/>
      <c r="E95" s="65" t="s">
        <v>167</v>
      </c>
      <c r="F95" s="49">
        <v>135450</v>
      </c>
      <c r="G95" s="18">
        <f>100%-((F95-H95)/F95)</f>
        <v>0.16242155777039502</v>
      </c>
      <c r="H95" s="218">
        <v>22000</v>
      </c>
      <c r="I95" s="249">
        <v>3132</v>
      </c>
      <c r="J95" s="66">
        <v>22000</v>
      </c>
      <c r="K95" s="200"/>
      <c r="L95" s="200"/>
      <c r="M95" s="200"/>
      <c r="N95" s="200"/>
      <c r="O95" s="200"/>
      <c r="P95" s="200"/>
      <c r="Q95" s="200">
        <v>22000</v>
      </c>
      <c r="R95" s="200"/>
      <c r="S95" s="200"/>
      <c r="T95" s="200"/>
      <c r="U95" s="200"/>
      <c r="V95" s="200"/>
      <c r="W95" s="49"/>
      <c r="X95" s="40">
        <f t="shared" si="10"/>
        <v>22000</v>
      </c>
    </row>
    <row r="96" spans="2:24" ht="63">
      <c r="B96" s="295"/>
      <c r="C96" s="295"/>
      <c r="D96" s="292"/>
      <c r="E96" s="65" t="s">
        <v>657</v>
      </c>
      <c r="F96" s="49"/>
      <c r="G96" s="18"/>
      <c r="H96" s="218"/>
      <c r="I96" s="249">
        <v>3132</v>
      </c>
      <c r="J96" s="66">
        <v>400000</v>
      </c>
      <c r="K96" s="200"/>
      <c r="L96" s="200"/>
      <c r="M96" s="200"/>
      <c r="N96" s="200"/>
      <c r="O96" s="200"/>
      <c r="P96" s="200"/>
      <c r="Q96" s="200">
        <v>335000</v>
      </c>
      <c r="R96" s="200"/>
      <c r="S96" s="200"/>
      <c r="T96" s="200"/>
      <c r="U96" s="200">
        <v>65000</v>
      </c>
      <c r="V96" s="200"/>
      <c r="W96" s="49">
        <f>1292.4+3015.6+189232.72</f>
        <v>193540.72</v>
      </c>
      <c r="X96" s="40">
        <f t="shared" si="10"/>
        <v>141459.28</v>
      </c>
    </row>
    <row r="97" spans="2:24" ht="47.25">
      <c r="B97" s="295"/>
      <c r="C97" s="295"/>
      <c r="D97" s="292"/>
      <c r="E97" s="67" t="s">
        <v>658</v>
      </c>
      <c r="F97" s="49">
        <v>110000</v>
      </c>
      <c r="G97" s="18">
        <f aca="true" t="shared" si="11" ref="G97:G106">100%-((F97-H97)/F97)</f>
        <v>0.5</v>
      </c>
      <c r="H97" s="218">
        <v>55000</v>
      </c>
      <c r="I97" s="249">
        <v>3132</v>
      </c>
      <c r="J97" s="66">
        <v>55000</v>
      </c>
      <c r="K97" s="200"/>
      <c r="L97" s="200"/>
      <c r="M97" s="200"/>
      <c r="N97" s="200"/>
      <c r="O97" s="200"/>
      <c r="P97" s="200"/>
      <c r="Q97" s="200">
        <v>55000</v>
      </c>
      <c r="R97" s="200"/>
      <c r="S97" s="200"/>
      <c r="T97" s="200"/>
      <c r="U97" s="200"/>
      <c r="V97" s="200"/>
      <c r="W97" s="49">
        <f>2130+36451.8+15559.4</f>
        <v>54141.200000000004</v>
      </c>
      <c r="X97" s="40">
        <f t="shared" si="10"/>
        <v>858.7999999999956</v>
      </c>
    </row>
    <row r="98" spans="2:24" ht="47.25">
      <c r="B98" s="295"/>
      <c r="C98" s="295"/>
      <c r="D98" s="292"/>
      <c r="E98" s="68" t="s">
        <v>659</v>
      </c>
      <c r="F98" s="49">
        <v>112000</v>
      </c>
      <c r="G98" s="18">
        <f t="shared" si="11"/>
        <v>1</v>
      </c>
      <c r="H98" s="219">
        <v>112000</v>
      </c>
      <c r="I98" s="249">
        <v>3132</v>
      </c>
      <c r="J98" s="16">
        <f>112000-89500</f>
        <v>22500</v>
      </c>
      <c r="K98" s="200"/>
      <c r="L98" s="200"/>
      <c r="M98" s="200"/>
      <c r="N98" s="200"/>
      <c r="O98" s="200"/>
      <c r="P98" s="200"/>
      <c r="Q98" s="200">
        <f>112000-89500</f>
        <v>22500</v>
      </c>
      <c r="R98" s="200"/>
      <c r="S98" s="200"/>
      <c r="T98" s="200"/>
      <c r="U98" s="200"/>
      <c r="V98" s="200"/>
      <c r="W98" s="49">
        <v>21903.99</v>
      </c>
      <c r="X98" s="40">
        <f t="shared" si="10"/>
        <v>596.0099999999984</v>
      </c>
    </row>
    <row r="99" spans="2:24" ht="63">
      <c r="B99" s="295"/>
      <c r="C99" s="295"/>
      <c r="D99" s="292"/>
      <c r="E99" s="67" t="s">
        <v>660</v>
      </c>
      <c r="F99" s="49">
        <v>30000</v>
      </c>
      <c r="G99" s="18">
        <f t="shared" si="11"/>
        <v>1</v>
      </c>
      <c r="H99" s="217">
        <v>30000</v>
      </c>
      <c r="I99" s="249">
        <v>3132</v>
      </c>
      <c r="J99" s="21">
        <f>30000-10000</f>
        <v>20000</v>
      </c>
      <c r="K99" s="200"/>
      <c r="L99" s="200"/>
      <c r="M99" s="200"/>
      <c r="N99" s="200"/>
      <c r="O99" s="200"/>
      <c r="P99" s="200"/>
      <c r="Q99" s="200">
        <f>30000-10000</f>
        <v>20000</v>
      </c>
      <c r="R99" s="200"/>
      <c r="S99" s="200"/>
      <c r="T99" s="200"/>
      <c r="U99" s="200"/>
      <c r="V99" s="200"/>
      <c r="W99" s="49"/>
      <c r="X99" s="40">
        <f t="shared" si="10"/>
        <v>20000</v>
      </c>
    </row>
    <row r="100" spans="2:24" ht="47.25">
      <c r="B100" s="295"/>
      <c r="C100" s="295"/>
      <c r="D100" s="292"/>
      <c r="E100" s="67" t="s">
        <v>422</v>
      </c>
      <c r="F100" s="49">
        <v>180000</v>
      </c>
      <c r="G100" s="18">
        <f t="shared" si="11"/>
        <v>1</v>
      </c>
      <c r="H100" s="217">
        <v>180000</v>
      </c>
      <c r="I100" s="249">
        <v>3132</v>
      </c>
      <c r="J100" s="21">
        <f>180000-25000</f>
        <v>155000</v>
      </c>
      <c r="K100" s="200"/>
      <c r="L100" s="200"/>
      <c r="M100" s="200"/>
      <c r="N100" s="200"/>
      <c r="O100" s="200"/>
      <c r="P100" s="200"/>
      <c r="Q100" s="200">
        <v>180000</v>
      </c>
      <c r="R100" s="200"/>
      <c r="S100" s="200">
        <v>-25000</v>
      </c>
      <c r="T100" s="200"/>
      <c r="U100" s="200"/>
      <c r="V100" s="200"/>
      <c r="W100" s="49">
        <f>2219+141079+5345.78</f>
        <v>148643.78</v>
      </c>
      <c r="X100" s="40">
        <f t="shared" si="10"/>
        <v>6356.220000000001</v>
      </c>
    </row>
    <row r="101" spans="2:24" ht="78.75">
      <c r="B101" s="295"/>
      <c r="C101" s="295"/>
      <c r="D101" s="292"/>
      <c r="E101" s="31" t="s">
        <v>423</v>
      </c>
      <c r="F101" s="49">
        <v>200000</v>
      </c>
      <c r="G101" s="18">
        <f t="shared" si="11"/>
        <v>1</v>
      </c>
      <c r="H101" s="220">
        <v>200000</v>
      </c>
      <c r="I101" s="249">
        <v>3132</v>
      </c>
      <c r="J101" s="21">
        <f>200000+259000-90000</f>
        <v>369000</v>
      </c>
      <c r="K101" s="200"/>
      <c r="L101" s="200"/>
      <c r="M101" s="200"/>
      <c r="N101" s="200"/>
      <c r="O101" s="200"/>
      <c r="P101" s="200"/>
      <c r="Q101" s="200">
        <v>174000</v>
      </c>
      <c r="R101" s="200"/>
      <c r="S101" s="200">
        <f>26000+259000</f>
        <v>285000</v>
      </c>
      <c r="T101" s="200">
        <v>-90000</v>
      </c>
      <c r="U101" s="200">
        <f>26000-26000</f>
        <v>0</v>
      </c>
      <c r="V101" s="200"/>
      <c r="W101" s="49">
        <f>3278.4+96860.8+99860+52203.1</f>
        <v>252202.30000000002</v>
      </c>
      <c r="X101" s="40">
        <f t="shared" si="10"/>
        <v>116797.69999999998</v>
      </c>
    </row>
    <row r="102" spans="2:24" ht="31.5">
      <c r="B102" s="295"/>
      <c r="C102" s="295"/>
      <c r="D102" s="292"/>
      <c r="E102" s="31" t="s">
        <v>774</v>
      </c>
      <c r="F102" s="49"/>
      <c r="G102" s="18"/>
      <c r="H102" s="220"/>
      <c r="I102" s="249">
        <v>3132</v>
      </c>
      <c r="J102" s="21">
        <v>400000</v>
      </c>
      <c r="K102" s="200"/>
      <c r="L102" s="200"/>
      <c r="M102" s="200"/>
      <c r="N102" s="200"/>
      <c r="O102" s="200"/>
      <c r="P102" s="200"/>
      <c r="Q102" s="200"/>
      <c r="R102" s="200"/>
      <c r="S102" s="200">
        <v>400000</v>
      </c>
      <c r="T102" s="200"/>
      <c r="U102" s="200"/>
      <c r="V102" s="200"/>
      <c r="W102" s="49">
        <f>260522.64+20967</f>
        <v>281489.64</v>
      </c>
      <c r="X102" s="40">
        <f t="shared" si="10"/>
        <v>118510.35999999999</v>
      </c>
    </row>
    <row r="103" spans="2:24" ht="78.75">
      <c r="B103" s="295"/>
      <c r="C103" s="295"/>
      <c r="D103" s="292"/>
      <c r="E103" s="31" t="s">
        <v>424</v>
      </c>
      <c r="F103" s="49">
        <v>270000</v>
      </c>
      <c r="G103" s="18">
        <f t="shared" si="11"/>
        <v>1</v>
      </c>
      <c r="H103" s="220">
        <v>270000</v>
      </c>
      <c r="I103" s="249">
        <v>3132</v>
      </c>
      <c r="J103" s="21">
        <v>270000</v>
      </c>
      <c r="K103" s="200"/>
      <c r="L103" s="200"/>
      <c r="M103" s="200"/>
      <c r="N103" s="200"/>
      <c r="O103" s="200">
        <v>10000</v>
      </c>
      <c r="P103" s="200"/>
      <c r="Q103" s="200">
        <v>210000</v>
      </c>
      <c r="R103" s="200"/>
      <c r="S103" s="200"/>
      <c r="T103" s="200"/>
      <c r="U103" s="200">
        <v>50000</v>
      </c>
      <c r="V103" s="200"/>
      <c r="W103" s="49">
        <f>21530+120000+32603.5</f>
        <v>174133.5</v>
      </c>
      <c r="X103" s="40">
        <f t="shared" si="10"/>
        <v>45866.5</v>
      </c>
    </row>
    <row r="104" spans="2:24" ht="31.5">
      <c r="B104" s="295"/>
      <c r="C104" s="295"/>
      <c r="D104" s="292"/>
      <c r="E104" s="31" t="s">
        <v>425</v>
      </c>
      <c r="F104" s="49">
        <v>300000</v>
      </c>
      <c r="G104" s="18">
        <f t="shared" si="11"/>
        <v>1</v>
      </c>
      <c r="H104" s="220">
        <v>300000</v>
      </c>
      <c r="I104" s="249">
        <v>3132</v>
      </c>
      <c r="J104" s="21">
        <v>300000</v>
      </c>
      <c r="K104" s="200"/>
      <c r="L104" s="200"/>
      <c r="M104" s="200"/>
      <c r="N104" s="200"/>
      <c r="O104" s="200">
        <v>10000</v>
      </c>
      <c r="P104" s="200"/>
      <c r="Q104" s="200">
        <v>234000</v>
      </c>
      <c r="R104" s="200"/>
      <c r="S104" s="200"/>
      <c r="T104" s="200">
        <f>12000</f>
        <v>12000</v>
      </c>
      <c r="U104" s="200">
        <f>56000-12000</f>
        <v>44000</v>
      </c>
      <c r="V104" s="200"/>
      <c r="W104" s="49">
        <f>20967+133019.8+5500+96348.2</f>
        <v>255835</v>
      </c>
      <c r="X104" s="40">
        <f t="shared" si="10"/>
        <v>165</v>
      </c>
    </row>
    <row r="105" spans="2:24" ht="31.5">
      <c r="B105" s="295"/>
      <c r="C105" s="295"/>
      <c r="D105" s="292"/>
      <c r="E105" s="31" t="s">
        <v>470</v>
      </c>
      <c r="F105" s="49">
        <v>200000</v>
      </c>
      <c r="G105" s="18">
        <f t="shared" si="11"/>
        <v>1</v>
      </c>
      <c r="H105" s="220">
        <v>200000</v>
      </c>
      <c r="I105" s="249">
        <v>3132</v>
      </c>
      <c r="J105" s="49">
        <f>200000+304000</f>
        <v>504000</v>
      </c>
      <c r="K105" s="200"/>
      <c r="L105" s="200"/>
      <c r="M105" s="200"/>
      <c r="N105" s="200"/>
      <c r="O105" s="200"/>
      <c r="P105" s="200"/>
      <c r="Q105" s="200">
        <v>174000</v>
      </c>
      <c r="R105" s="200"/>
      <c r="S105" s="200">
        <v>304000</v>
      </c>
      <c r="T105" s="200"/>
      <c r="U105" s="200">
        <v>26000</v>
      </c>
      <c r="V105" s="200"/>
      <c r="W105" s="49">
        <f>67956.5+20886.5+1959</f>
        <v>90802</v>
      </c>
      <c r="X105" s="40">
        <f t="shared" si="10"/>
        <v>387198</v>
      </c>
    </row>
    <row r="106" spans="2:24" ht="63">
      <c r="B106" s="295"/>
      <c r="C106" s="295"/>
      <c r="D106" s="292"/>
      <c r="E106" s="64" t="s">
        <v>471</v>
      </c>
      <c r="F106" s="49">
        <v>162400</v>
      </c>
      <c r="G106" s="18">
        <f t="shared" si="11"/>
        <v>1</v>
      </c>
      <c r="H106" s="220">
        <v>162400</v>
      </c>
      <c r="I106" s="249">
        <v>3132</v>
      </c>
      <c r="J106" s="13">
        <f>162400+233000-23000</f>
        <v>372400</v>
      </c>
      <c r="K106" s="200"/>
      <c r="L106" s="200"/>
      <c r="M106" s="200"/>
      <c r="N106" s="200"/>
      <c r="O106" s="200"/>
      <c r="P106" s="200"/>
      <c r="Q106" s="200">
        <v>162400</v>
      </c>
      <c r="R106" s="200"/>
      <c r="S106" s="200">
        <v>233000</v>
      </c>
      <c r="T106" s="200">
        <v>-23000</v>
      </c>
      <c r="U106" s="200"/>
      <c r="V106" s="200"/>
      <c r="W106" s="49">
        <f>84665+60573+2400+101950.5</f>
        <v>249588.5</v>
      </c>
      <c r="X106" s="40">
        <f t="shared" si="10"/>
        <v>122811.5</v>
      </c>
    </row>
    <row r="107" spans="2:24" ht="47.25">
      <c r="B107" s="295"/>
      <c r="C107" s="295"/>
      <c r="D107" s="292"/>
      <c r="E107" s="64" t="s">
        <v>472</v>
      </c>
      <c r="F107" s="49"/>
      <c r="G107" s="18"/>
      <c r="H107" s="220"/>
      <c r="I107" s="249">
        <v>3132</v>
      </c>
      <c r="J107" s="13">
        <v>200000</v>
      </c>
      <c r="K107" s="200"/>
      <c r="L107" s="200"/>
      <c r="M107" s="200"/>
      <c r="N107" s="200"/>
      <c r="O107" s="200"/>
      <c r="P107" s="200"/>
      <c r="Q107" s="200">
        <v>174000</v>
      </c>
      <c r="R107" s="200"/>
      <c r="S107" s="200">
        <v>26000</v>
      </c>
      <c r="T107" s="200"/>
      <c r="U107" s="200">
        <f>26000-26000</f>
        <v>0</v>
      </c>
      <c r="V107" s="200"/>
      <c r="W107" s="49">
        <f>138282.7+3019+58698.3</f>
        <v>200000</v>
      </c>
      <c r="X107" s="40">
        <f t="shared" si="10"/>
        <v>0</v>
      </c>
    </row>
    <row r="108" spans="2:24" ht="78.75">
      <c r="B108" s="295"/>
      <c r="C108" s="295"/>
      <c r="D108" s="292"/>
      <c r="E108" s="31" t="s">
        <v>733</v>
      </c>
      <c r="F108" s="49">
        <v>200000</v>
      </c>
      <c r="G108" s="18">
        <f>100%-((F108-H108)/F108)</f>
        <v>1</v>
      </c>
      <c r="H108" s="220">
        <v>200000</v>
      </c>
      <c r="I108" s="249">
        <v>3132</v>
      </c>
      <c r="J108" s="21">
        <f>200000+120000</f>
        <v>320000</v>
      </c>
      <c r="K108" s="200"/>
      <c r="L108" s="200"/>
      <c r="M108" s="200"/>
      <c r="N108" s="200"/>
      <c r="O108" s="200"/>
      <c r="P108" s="200"/>
      <c r="Q108" s="200">
        <v>174000</v>
      </c>
      <c r="R108" s="200"/>
      <c r="S108" s="200">
        <v>120000</v>
      </c>
      <c r="T108" s="200"/>
      <c r="U108" s="200">
        <v>26000</v>
      </c>
      <c r="V108" s="200"/>
      <c r="W108" s="49">
        <f>3780+96464+120258</f>
        <v>220502</v>
      </c>
      <c r="X108" s="40">
        <f t="shared" si="10"/>
        <v>73498</v>
      </c>
    </row>
    <row r="109" spans="2:24" ht="75" customHeight="1">
      <c r="B109" s="295"/>
      <c r="C109" s="295"/>
      <c r="D109" s="292"/>
      <c r="E109" s="69" t="s">
        <v>734</v>
      </c>
      <c r="F109" s="49">
        <v>70000</v>
      </c>
      <c r="G109" s="18">
        <f>100%-((F109-H109)/F109)</f>
        <v>1</v>
      </c>
      <c r="H109" s="220">
        <v>70000</v>
      </c>
      <c r="I109" s="249">
        <v>3132</v>
      </c>
      <c r="J109" s="21">
        <f>70000+92000</f>
        <v>162000</v>
      </c>
      <c r="K109" s="200"/>
      <c r="L109" s="200"/>
      <c r="M109" s="200"/>
      <c r="N109" s="200"/>
      <c r="O109" s="200"/>
      <c r="P109" s="200"/>
      <c r="Q109" s="200">
        <v>70000</v>
      </c>
      <c r="R109" s="200"/>
      <c r="S109" s="200">
        <v>92000</v>
      </c>
      <c r="T109" s="200"/>
      <c r="U109" s="200"/>
      <c r="V109" s="200"/>
      <c r="W109" s="49">
        <f>2340.59+5461.39+43457.68</f>
        <v>51259.66</v>
      </c>
      <c r="X109" s="40">
        <f t="shared" si="10"/>
        <v>110740.34</v>
      </c>
    </row>
    <row r="110" spans="2:24" ht="63">
      <c r="B110" s="295"/>
      <c r="C110" s="295"/>
      <c r="D110" s="292"/>
      <c r="E110" s="69" t="s">
        <v>681</v>
      </c>
      <c r="F110" s="49"/>
      <c r="G110" s="18"/>
      <c r="H110" s="220"/>
      <c r="I110" s="249">
        <v>3132</v>
      </c>
      <c r="J110" s="21">
        <f>300000+297000</f>
        <v>597000</v>
      </c>
      <c r="K110" s="200"/>
      <c r="L110" s="200"/>
      <c r="M110" s="200"/>
      <c r="N110" s="200"/>
      <c r="O110" s="200">
        <v>10000</v>
      </c>
      <c r="P110" s="200"/>
      <c r="Q110" s="200">
        <v>234000</v>
      </c>
      <c r="R110" s="200"/>
      <c r="S110" s="200">
        <v>297000</v>
      </c>
      <c r="T110" s="200"/>
      <c r="U110" s="200">
        <v>56000</v>
      </c>
      <c r="V110" s="200"/>
      <c r="W110" s="49">
        <f>2468.52+5579.88+197173.06+198896.18+80846.54+20901</f>
        <v>505865.18</v>
      </c>
      <c r="X110" s="40">
        <f t="shared" si="10"/>
        <v>35134.82000000001</v>
      </c>
    </row>
    <row r="111" spans="2:24" ht="63">
      <c r="B111" s="295"/>
      <c r="C111" s="295"/>
      <c r="D111" s="292"/>
      <c r="E111" s="31" t="s">
        <v>505</v>
      </c>
      <c r="F111" s="49">
        <v>250000</v>
      </c>
      <c r="G111" s="18">
        <f>100%-((F111-H111)/F111)</f>
        <v>1</v>
      </c>
      <c r="H111" s="220">
        <v>250000</v>
      </c>
      <c r="I111" s="249">
        <v>3132</v>
      </c>
      <c r="J111" s="21">
        <f>250000+607000</f>
        <v>857000</v>
      </c>
      <c r="K111" s="200"/>
      <c r="L111" s="200"/>
      <c r="M111" s="200"/>
      <c r="N111" s="200"/>
      <c r="O111" s="200"/>
      <c r="P111" s="200"/>
      <c r="Q111" s="200">
        <v>190000</v>
      </c>
      <c r="R111" s="200"/>
      <c r="S111" s="200">
        <f>30000+607000</f>
        <v>637000</v>
      </c>
      <c r="T111" s="200"/>
      <c r="U111" s="200">
        <f>60000-30000</f>
        <v>30000</v>
      </c>
      <c r="V111" s="200"/>
      <c r="W111" s="49">
        <f>11822+140987.28+3100+59352.72</f>
        <v>215262</v>
      </c>
      <c r="X111" s="40">
        <f t="shared" si="10"/>
        <v>611738</v>
      </c>
    </row>
    <row r="112" spans="2:24" ht="63">
      <c r="B112" s="295"/>
      <c r="C112" s="295"/>
      <c r="D112" s="292"/>
      <c r="E112" s="31" t="s">
        <v>254</v>
      </c>
      <c r="F112" s="49"/>
      <c r="G112" s="18"/>
      <c r="H112" s="220"/>
      <c r="I112" s="249">
        <v>3132</v>
      </c>
      <c r="J112" s="21">
        <f>900000-370000</f>
        <v>530000</v>
      </c>
      <c r="K112" s="200"/>
      <c r="L112" s="200"/>
      <c r="M112" s="200"/>
      <c r="N112" s="200"/>
      <c r="O112" s="200">
        <v>10000</v>
      </c>
      <c r="P112" s="200"/>
      <c r="Q112" s="200">
        <v>680000</v>
      </c>
      <c r="R112" s="200">
        <v>-160000</v>
      </c>
      <c r="S112" s="200"/>
      <c r="T112" s="200"/>
      <c r="U112" s="200">
        <f>110000-110000</f>
        <v>0</v>
      </c>
      <c r="V112" s="200">
        <f>100000-100000</f>
        <v>0</v>
      </c>
      <c r="W112" s="49">
        <f>18060+240789</f>
        <v>258849</v>
      </c>
      <c r="X112" s="40">
        <f t="shared" si="10"/>
        <v>271151</v>
      </c>
    </row>
    <row r="113" spans="2:24" ht="47.25">
      <c r="B113" s="295"/>
      <c r="C113" s="295"/>
      <c r="D113" s="292"/>
      <c r="E113" s="31" t="s">
        <v>255</v>
      </c>
      <c r="F113" s="49"/>
      <c r="G113" s="18"/>
      <c r="H113" s="220"/>
      <c r="I113" s="249">
        <v>3132</v>
      </c>
      <c r="J113" s="21">
        <v>300000</v>
      </c>
      <c r="K113" s="200"/>
      <c r="L113" s="200"/>
      <c r="M113" s="200"/>
      <c r="N113" s="200"/>
      <c r="O113" s="200"/>
      <c r="P113" s="200"/>
      <c r="Q113" s="200">
        <v>244000</v>
      </c>
      <c r="R113" s="200"/>
      <c r="S113" s="200"/>
      <c r="T113" s="200"/>
      <c r="U113" s="200">
        <v>56000</v>
      </c>
      <c r="V113" s="200"/>
      <c r="W113" s="49">
        <f>4118.06+140453.1+9608.79</f>
        <v>154179.95</v>
      </c>
      <c r="X113" s="40">
        <f t="shared" si="10"/>
        <v>89820.04999999999</v>
      </c>
    </row>
    <row r="114" spans="2:24" ht="47.25">
      <c r="B114" s="295"/>
      <c r="C114" s="295"/>
      <c r="D114" s="292"/>
      <c r="E114" s="31" t="s">
        <v>438</v>
      </c>
      <c r="F114" s="49"/>
      <c r="G114" s="18"/>
      <c r="H114" s="220"/>
      <c r="I114" s="249">
        <v>3132</v>
      </c>
      <c r="J114" s="21">
        <f>200000+23000</f>
        <v>223000</v>
      </c>
      <c r="K114" s="200"/>
      <c r="L114" s="200"/>
      <c r="M114" s="200"/>
      <c r="N114" s="200"/>
      <c r="O114" s="200"/>
      <c r="P114" s="200"/>
      <c r="Q114" s="200">
        <v>174000</v>
      </c>
      <c r="R114" s="200"/>
      <c r="S114" s="200"/>
      <c r="T114" s="200">
        <f>22000+23000</f>
        <v>45000</v>
      </c>
      <c r="U114" s="200">
        <f>26000-22000</f>
        <v>4000</v>
      </c>
      <c r="V114" s="200"/>
      <c r="W114" s="49">
        <f>3288+57651.9+134521.1</f>
        <v>195461</v>
      </c>
      <c r="X114" s="40">
        <f t="shared" si="10"/>
        <v>23539</v>
      </c>
    </row>
    <row r="115" spans="2:24" ht="63">
      <c r="B115" s="295"/>
      <c r="C115" s="295"/>
      <c r="D115" s="292"/>
      <c r="E115" s="31" t="s">
        <v>260</v>
      </c>
      <c r="F115" s="49">
        <v>200000</v>
      </c>
      <c r="G115" s="18">
        <f>100%-((F115-H115)/F115)</f>
        <v>1</v>
      </c>
      <c r="H115" s="220">
        <v>200000</v>
      </c>
      <c r="I115" s="249">
        <v>3132</v>
      </c>
      <c r="J115" s="21">
        <v>200000</v>
      </c>
      <c r="K115" s="200"/>
      <c r="L115" s="200"/>
      <c r="M115" s="200"/>
      <c r="N115" s="200"/>
      <c r="O115" s="200"/>
      <c r="P115" s="200"/>
      <c r="Q115" s="200">
        <v>174000</v>
      </c>
      <c r="R115" s="200"/>
      <c r="S115" s="200">
        <v>25000</v>
      </c>
      <c r="T115" s="200">
        <f>1000</f>
        <v>1000</v>
      </c>
      <c r="U115" s="200">
        <f>26000-25000-1000</f>
        <v>0</v>
      </c>
      <c r="V115" s="200"/>
      <c r="W115" s="49">
        <f>1320+97508.9+1959+97508.9</f>
        <v>198296.8</v>
      </c>
      <c r="X115" s="40">
        <f t="shared" si="10"/>
        <v>1703.2000000000116</v>
      </c>
    </row>
    <row r="116" spans="2:24" ht="47.25">
      <c r="B116" s="295"/>
      <c r="C116" s="295"/>
      <c r="D116" s="292"/>
      <c r="E116" s="31" t="s">
        <v>678</v>
      </c>
      <c r="F116" s="49"/>
      <c r="G116" s="18"/>
      <c r="H116" s="220"/>
      <c r="I116" s="249">
        <v>3132</v>
      </c>
      <c r="J116" s="21">
        <v>400000</v>
      </c>
      <c r="K116" s="200"/>
      <c r="L116" s="200"/>
      <c r="M116" s="200"/>
      <c r="N116" s="200"/>
      <c r="O116" s="200">
        <v>6472.93</v>
      </c>
      <c r="P116" s="200"/>
      <c r="Q116" s="200">
        <v>320527.07</v>
      </c>
      <c r="R116" s="200"/>
      <c r="S116" s="200"/>
      <c r="T116" s="200"/>
      <c r="U116" s="200">
        <v>73000</v>
      </c>
      <c r="V116" s="200"/>
      <c r="W116" s="49">
        <f>2556+194972</f>
        <v>197528</v>
      </c>
      <c r="X116" s="40">
        <f t="shared" si="10"/>
        <v>129472</v>
      </c>
    </row>
    <row r="117" spans="2:24" ht="47.25">
      <c r="B117" s="295"/>
      <c r="C117" s="295"/>
      <c r="D117" s="292"/>
      <c r="E117" s="31" t="s">
        <v>595</v>
      </c>
      <c r="F117" s="49"/>
      <c r="G117" s="18"/>
      <c r="H117" s="220"/>
      <c r="I117" s="249">
        <v>3132</v>
      </c>
      <c r="J117" s="21">
        <v>300000</v>
      </c>
      <c r="K117" s="200"/>
      <c r="L117" s="200"/>
      <c r="M117" s="200"/>
      <c r="N117" s="200"/>
      <c r="O117" s="200"/>
      <c r="P117" s="200"/>
      <c r="Q117" s="200">
        <v>244000</v>
      </c>
      <c r="R117" s="200"/>
      <c r="S117" s="200"/>
      <c r="T117" s="200">
        <v>51000</v>
      </c>
      <c r="U117" s="200">
        <f>56000-51000</f>
        <v>5000</v>
      </c>
      <c r="V117" s="200"/>
      <c r="W117" s="49">
        <f>3000+87481.8+204124.2</f>
        <v>294606</v>
      </c>
      <c r="X117" s="40">
        <f t="shared" si="10"/>
        <v>394</v>
      </c>
    </row>
    <row r="118" spans="2:24" ht="31.5">
      <c r="B118" s="295"/>
      <c r="C118" s="295"/>
      <c r="D118" s="292"/>
      <c r="E118" s="31" t="s">
        <v>743</v>
      </c>
      <c r="F118" s="49"/>
      <c r="G118" s="18"/>
      <c r="H118" s="220"/>
      <c r="I118" s="249">
        <v>3132</v>
      </c>
      <c r="J118" s="21">
        <f>350000+256000</f>
        <v>606000</v>
      </c>
      <c r="K118" s="200"/>
      <c r="L118" s="200"/>
      <c r="M118" s="200"/>
      <c r="N118" s="200"/>
      <c r="O118" s="200">
        <v>10000</v>
      </c>
      <c r="P118" s="200"/>
      <c r="Q118" s="200">
        <v>340000</v>
      </c>
      <c r="R118" s="200"/>
      <c r="S118" s="200">
        <v>256000</v>
      </c>
      <c r="T118" s="200"/>
      <c r="U118" s="200"/>
      <c r="V118" s="200"/>
      <c r="W118" s="49">
        <f>2151+4839+236257+166839.68+88314.2</f>
        <v>498400.88</v>
      </c>
      <c r="X118" s="40">
        <f t="shared" si="10"/>
        <v>107599.12</v>
      </c>
    </row>
    <row r="119" spans="2:24" ht="31.5">
      <c r="B119" s="295"/>
      <c r="C119" s="295"/>
      <c r="D119" s="292"/>
      <c r="E119" s="31" t="s">
        <v>744</v>
      </c>
      <c r="F119" s="49"/>
      <c r="G119" s="18"/>
      <c r="H119" s="220"/>
      <c r="I119" s="249">
        <v>3132</v>
      </c>
      <c r="J119" s="21">
        <v>200000</v>
      </c>
      <c r="K119" s="200"/>
      <c r="L119" s="200"/>
      <c r="M119" s="200"/>
      <c r="N119" s="200"/>
      <c r="O119" s="200"/>
      <c r="P119" s="200"/>
      <c r="Q119" s="200">
        <v>174000</v>
      </c>
      <c r="R119" s="200"/>
      <c r="S119" s="200"/>
      <c r="T119" s="200"/>
      <c r="U119" s="200">
        <v>26000</v>
      </c>
      <c r="V119" s="200"/>
      <c r="W119" s="49">
        <f>1915.2+1915.2-1915.2+4468.8+121392.6+1704</f>
        <v>129480.6</v>
      </c>
      <c r="X119" s="40">
        <f t="shared" si="10"/>
        <v>44519.399999999994</v>
      </c>
    </row>
    <row r="120" spans="2:24" ht="78.75">
      <c r="B120" s="295"/>
      <c r="C120" s="295"/>
      <c r="D120" s="292"/>
      <c r="E120" s="31" t="s">
        <v>745</v>
      </c>
      <c r="F120" s="49"/>
      <c r="G120" s="18"/>
      <c r="H120" s="220"/>
      <c r="I120" s="249">
        <v>3132</v>
      </c>
      <c r="J120" s="21">
        <v>250000</v>
      </c>
      <c r="K120" s="200"/>
      <c r="L120" s="200"/>
      <c r="M120" s="200"/>
      <c r="N120" s="200"/>
      <c r="O120" s="200"/>
      <c r="P120" s="200"/>
      <c r="Q120" s="200">
        <v>190000</v>
      </c>
      <c r="R120" s="200"/>
      <c r="S120" s="200">
        <v>54000</v>
      </c>
      <c r="T120" s="200"/>
      <c r="U120" s="200">
        <f>60000-54000</f>
        <v>6000</v>
      </c>
      <c r="V120" s="200"/>
      <c r="W120" s="49">
        <f>9270+116925.6+116925.6</f>
        <v>243121.2</v>
      </c>
      <c r="X120" s="40">
        <f t="shared" si="10"/>
        <v>878.7999999999884</v>
      </c>
    </row>
    <row r="121" spans="2:24" ht="47.25">
      <c r="B121" s="295"/>
      <c r="C121" s="295"/>
      <c r="D121" s="292"/>
      <c r="E121" s="31" t="s">
        <v>746</v>
      </c>
      <c r="F121" s="49"/>
      <c r="G121" s="18"/>
      <c r="H121" s="220"/>
      <c r="I121" s="249">
        <v>3132</v>
      </c>
      <c r="J121" s="21">
        <f>300000+338000</f>
        <v>638000</v>
      </c>
      <c r="K121" s="200"/>
      <c r="L121" s="200"/>
      <c r="M121" s="200"/>
      <c r="N121" s="200"/>
      <c r="O121" s="200">
        <v>10000</v>
      </c>
      <c r="P121" s="200"/>
      <c r="Q121" s="200">
        <v>234000</v>
      </c>
      <c r="R121" s="200"/>
      <c r="S121" s="200">
        <v>338000</v>
      </c>
      <c r="T121" s="200"/>
      <c r="U121" s="200">
        <v>56000</v>
      </c>
      <c r="V121" s="200"/>
      <c r="W121" s="49">
        <f>23099-23099+131000+23099+146990.5</f>
        <v>301089.5</v>
      </c>
      <c r="X121" s="40">
        <f t="shared" si="10"/>
        <v>280910.5</v>
      </c>
    </row>
    <row r="122" spans="2:24" ht="47.25">
      <c r="B122" s="295"/>
      <c r="C122" s="295"/>
      <c r="D122" s="292"/>
      <c r="E122" s="31" t="s">
        <v>647</v>
      </c>
      <c r="F122" s="49">
        <v>120000</v>
      </c>
      <c r="G122" s="18">
        <f>100%-((F122-H122)/F122)</f>
        <v>1</v>
      </c>
      <c r="H122" s="220">
        <v>120000</v>
      </c>
      <c r="I122" s="249">
        <v>3132</v>
      </c>
      <c r="J122" s="21">
        <f>120000-87000</f>
        <v>33000</v>
      </c>
      <c r="K122" s="200"/>
      <c r="L122" s="200"/>
      <c r="M122" s="200"/>
      <c r="N122" s="200"/>
      <c r="O122" s="200"/>
      <c r="P122" s="200"/>
      <c r="Q122" s="200">
        <v>120000</v>
      </c>
      <c r="R122" s="200"/>
      <c r="S122" s="200">
        <v>-87000</v>
      </c>
      <c r="T122" s="200"/>
      <c r="U122" s="200"/>
      <c r="V122" s="200"/>
      <c r="W122" s="49">
        <f>1518.82+1162.64+14272.8</f>
        <v>16954.26</v>
      </c>
      <c r="X122" s="40">
        <f t="shared" si="10"/>
        <v>16045.740000000002</v>
      </c>
    </row>
    <row r="123" spans="2:24" ht="31.5">
      <c r="B123" s="295"/>
      <c r="C123" s="295"/>
      <c r="D123" s="292"/>
      <c r="E123" s="31" t="s">
        <v>648</v>
      </c>
      <c r="F123" s="49"/>
      <c r="G123" s="18"/>
      <c r="H123" s="220"/>
      <c r="I123" s="249">
        <v>3110</v>
      </c>
      <c r="J123" s="21">
        <v>15600</v>
      </c>
      <c r="K123" s="201"/>
      <c r="L123" s="201"/>
      <c r="M123" s="201"/>
      <c r="N123" s="201"/>
      <c r="O123" s="201">
        <v>15600</v>
      </c>
      <c r="P123" s="201"/>
      <c r="Q123" s="201"/>
      <c r="R123" s="201"/>
      <c r="S123" s="201"/>
      <c r="T123" s="201"/>
      <c r="U123" s="201"/>
      <c r="V123" s="201"/>
      <c r="W123" s="49">
        <v>15600</v>
      </c>
      <c r="X123" s="40">
        <f t="shared" si="10"/>
        <v>0</v>
      </c>
    </row>
    <row r="124" spans="2:24" ht="31.5">
      <c r="B124" s="295"/>
      <c r="C124" s="295"/>
      <c r="D124" s="292"/>
      <c r="E124" s="31" t="s">
        <v>381</v>
      </c>
      <c r="F124" s="49"/>
      <c r="G124" s="18"/>
      <c r="H124" s="220"/>
      <c r="I124" s="249">
        <v>3132</v>
      </c>
      <c r="J124" s="21">
        <f>30000+84000</f>
        <v>114000</v>
      </c>
      <c r="K124" s="49"/>
      <c r="L124" s="49"/>
      <c r="M124" s="49"/>
      <c r="N124" s="49"/>
      <c r="O124" s="49"/>
      <c r="P124" s="49"/>
      <c r="Q124" s="49">
        <v>30000</v>
      </c>
      <c r="R124" s="49"/>
      <c r="S124" s="49">
        <v>84000</v>
      </c>
      <c r="T124" s="49"/>
      <c r="U124" s="49"/>
      <c r="V124" s="49"/>
      <c r="W124" s="49">
        <f>5894+23135.28</f>
        <v>29029.28</v>
      </c>
      <c r="X124" s="40">
        <f t="shared" si="10"/>
        <v>84970.72</v>
      </c>
    </row>
    <row r="125" spans="2:24" ht="31.5">
      <c r="B125" s="295"/>
      <c r="C125" s="295"/>
      <c r="D125" s="292"/>
      <c r="E125" s="31" t="s">
        <v>680</v>
      </c>
      <c r="F125" s="49"/>
      <c r="G125" s="18"/>
      <c r="H125" s="220"/>
      <c r="I125" s="249">
        <v>3110</v>
      </c>
      <c r="J125" s="21">
        <v>400000</v>
      </c>
      <c r="K125" s="49"/>
      <c r="L125" s="49"/>
      <c r="M125" s="49"/>
      <c r="N125" s="49"/>
      <c r="O125" s="49"/>
      <c r="P125" s="49"/>
      <c r="Q125" s="49"/>
      <c r="R125" s="49">
        <v>400000</v>
      </c>
      <c r="S125" s="49"/>
      <c r="T125" s="49"/>
      <c r="U125" s="49"/>
      <c r="V125" s="49"/>
      <c r="W125" s="49"/>
      <c r="X125" s="40">
        <f t="shared" si="10"/>
        <v>400000</v>
      </c>
    </row>
    <row r="126" spans="2:24" ht="47.25">
      <c r="B126" s="295"/>
      <c r="C126" s="295"/>
      <c r="D126" s="292"/>
      <c r="E126" s="31" t="s">
        <v>663</v>
      </c>
      <c r="F126" s="49"/>
      <c r="G126" s="18"/>
      <c r="H126" s="220"/>
      <c r="I126" s="249">
        <v>3132</v>
      </c>
      <c r="J126" s="21">
        <f>100000+93000</f>
        <v>193000</v>
      </c>
      <c r="K126" s="49"/>
      <c r="L126" s="49"/>
      <c r="M126" s="49"/>
      <c r="N126" s="49"/>
      <c r="O126" s="49"/>
      <c r="P126" s="49"/>
      <c r="Q126" s="49"/>
      <c r="R126" s="49"/>
      <c r="S126" s="49">
        <f>100000-79000+93000</f>
        <v>114000</v>
      </c>
      <c r="T126" s="49"/>
      <c r="U126" s="49">
        <v>79000</v>
      </c>
      <c r="V126" s="49"/>
      <c r="W126" s="49"/>
      <c r="X126" s="40">
        <f t="shared" si="10"/>
        <v>114000</v>
      </c>
    </row>
    <row r="127" spans="2:24" ht="47.25">
      <c r="B127" s="295"/>
      <c r="C127" s="295"/>
      <c r="D127" s="292"/>
      <c r="E127" s="31" t="s">
        <v>786</v>
      </c>
      <c r="F127" s="49"/>
      <c r="G127" s="18"/>
      <c r="H127" s="220"/>
      <c r="I127" s="249">
        <v>3132</v>
      </c>
      <c r="J127" s="21">
        <v>83000</v>
      </c>
      <c r="K127" s="49"/>
      <c r="L127" s="49"/>
      <c r="M127" s="49"/>
      <c r="N127" s="49"/>
      <c r="O127" s="49"/>
      <c r="P127" s="49"/>
      <c r="Q127" s="49"/>
      <c r="R127" s="49"/>
      <c r="S127" s="49">
        <v>43000</v>
      </c>
      <c r="T127" s="49"/>
      <c r="U127" s="49">
        <v>40000</v>
      </c>
      <c r="V127" s="49"/>
      <c r="W127" s="49"/>
      <c r="X127" s="40">
        <f t="shared" si="10"/>
        <v>43000</v>
      </c>
    </row>
    <row r="128" spans="2:24" ht="31.5">
      <c r="B128" s="295"/>
      <c r="C128" s="295"/>
      <c r="D128" s="292"/>
      <c r="E128" s="31" t="s">
        <v>664</v>
      </c>
      <c r="F128" s="49"/>
      <c r="G128" s="18"/>
      <c r="H128" s="220"/>
      <c r="I128" s="249">
        <v>3132</v>
      </c>
      <c r="J128" s="21">
        <f>50000+112000</f>
        <v>162000</v>
      </c>
      <c r="K128" s="49"/>
      <c r="L128" s="49"/>
      <c r="M128" s="49"/>
      <c r="N128" s="49"/>
      <c r="O128" s="49"/>
      <c r="P128" s="49"/>
      <c r="Q128" s="49"/>
      <c r="R128" s="49">
        <v>50000</v>
      </c>
      <c r="S128" s="49">
        <v>112000</v>
      </c>
      <c r="T128" s="49"/>
      <c r="U128" s="49"/>
      <c r="V128" s="49"/>
      <c r="W128" s="49"/>
      <c r="X128" s="40">
        <f t="shared" si="10"/>
        <v>162000</v>
      </c>
    </row>
    <row r="129" spans="2:24" ht="47.25">
      <c r="B129" s="295"/>
      <c r="C129" s="295"/>
      <c r="D129" s="292"/>
      <c r="E129" s="31" t="s">
        <v>902</v>
      </c>
      <c r="F129" s="49"/>
      <c r="G129" s="18"/>
      <c r="H129" s="220"/>
      <c r="I129" s="249">
        <v>3132</v>
      </c>
      <c r="J129" s="21">
        <v>211000</v>
      </c>
      <c r="K129" s="49"/>
      <c r="L129" s="49"/>
      <c r="M129" s="49"/>
      <c r="N129" s="49"/>
      <c r="O129" s="49"/>
      <c r="P129" s="49"/>
      <c r="Q129" s="49"/>
      <c r="R129" s="49"/>
      <c r="S129" s="21">
        <v>211000</v>
      </c>
      <c r="T129" s="49"/>
      <c r="U129" s="49"/>
      <c r="V129" s="49"/>
      <c r="W129" s="49"/>
      <c r="X129" s="40">
        <f t="shared" si="10"/>
        <v>211000</v>
      </c>
    </row>
    <row r="130" spans="2:24" ht="47.25">
      <c r="B130" s="295"/>
      <c r="C130" s="295"/>
      <c r="D130" s="292"/>
      <c r="E130" s="31" t="s">
        <v>903</v>
      </c>
      <c r="F130" s="49"/>
      <c r="G130" s="18"/>
      <c r="H130" s="220"/>
      <c r="I130" s="249">
        <v>3132</v>
      </c>
      <c r="J130" s="21">
        <v>284000</v>
      </c>
      <c r="K130" s="49"/>
      <c r="L130" s="49"/>
      <c r="M130" s="49"/>
      <c r="N130" s="49"/>
      <c r="O130" s="49"/>
      <c r="P130" s="49"/>
      <c r="Q130" s="49"/>
      <c r="R130" s="49"/>
      <c r="S130" s="21">
        <v>284000</v>
      </c>
      <c r="T130" s="49"/>
      <c r="U130" s="49"/>
      <c r="V130" s="49"/>
      <c r="W130" s="49">
        <f>924</f>
        <v>924</v>
      </c>
      <c r="X130" s="40">
        <f t="shared" si="10"/>
        <v>283076</v>
      </c>
    </row>
    <row r="131" spans="2:24" ht="31.5">
      <c r="B131" s="295"/>
      <c r="C131" s="295"/>
      <c r="D131" s="292"/>
      <c r="E131" s="31" t="s">
        <v>893</v>
      </c>
      <c r="F131" s="49"/>
      <c r="G131" s="18"/>
      <c r="H131" s="220"/>
      <c r="I131" s="249">
        <v>3132</v>
      </c>
      <c r="J131" s="21">
        <v>756000</v>
      </c>
      <c r="K131" s="49"/>
      <c r="L131" s="49"/>
      <c r="M131" s="49"/>
      <c r="N131" s="49"/>
      <c r="O131" s="49"/>
      <c r="P131" s="49"/>
      <c r="Q131" s="49"/>
      <c r="R131" s="49"/>
      <c r="S131" s="21">
        <v>756000</v>
      </c>
      <c r="T131" s="49"/>
      <c r="U131" s="49"/>
      <c r="V131" s="49"/>
      <c r="W131" s="49">
        <v>372700</v>
      </c>
      <c r="X131" s="40">
        <f t="shared" si="10"/>
        <v>383300</v>
      </c>
    </row>
    <row r="132" spans="2:24" ht="31.5">
      <c r="B132" s="295"/>
      <c r="C132" s="295"/>
      <c r="D132" s="292"/>
      <c r="E132" s="31" t="s">
        <v>894</v>
      </c>
      <c r="F132" s="49"/>
      <c r="G132" s="18"/>
      <c r="H132" s="220"/>
      <c r="I132" s="249">
        <v>3132</v>
      </c>
      <c r="J132" s="21">
        <v>352000</v>
      </c>
      <c r="K132" s="49"/>
      <c r="L132" s="49"/>
      <c r="M132" s="49"/>
      <c r="N132" s="49"/>
      <c r="O132" s="49"/>
      <c r="P132" s="49"/>
      <c r="Q132" s="49"/>
      <c r="R132" s="49"/>
      <c r="S132" s="21">
        <v>352000</v>
      </c>
      <c r="T132" s="49"/>
      <c r="U132" s="49"/>
      <c r="V132" s="49"/>
      <c r="W132" s="49">
        <v>241058.16</v>
      </c>
      <c r="X132" s="40">
        <f t="shared" si="10"/>
        <v>110941.84</v>
      </c>
    </row>
    <row r="133" spans="2:24" ht="31.5">
      <c r="B133" s="295"/>
      <c r="C133" s="295"/>
      <c r="D133" s="292"/>
      <c r="E133" s="31" t="s">
        <v>895</v>
      </c>
      <c r="F133" s="49"/>
      <c r="G133" s="18"/>
      <c r="H133" s="220"/>
      <c r="I133" s="249">
        <v>3132</v>
      </c>
      <c r="J133" s="21">
        <v>498000</v>
      </c>
      <c r="K133" s="49"/>
      <c r="L133" s="49"/>
      <c r="M133" s="49"/>
      <c r="N133" s="49"/>
      <c r="O133" s="49"/>
      <c r="P133" s="49"/>
      <c r="Q133" s="49"/>
      <c r="R133" s="49"/>
      <c r="S133" s="21">
        <v>498000</v>
      </c>
      <c r="T133" s="49"/>
      <c r="U133" s="49"/>
      <c r="V133" s="49"/>
      <c r="W133" s="49"/>
      <c r="X133" s="40">
        <f t="shared" si="10"/>
        <v>498000</v>
      </c>
    </row>
    <row r="134" spans="2:24" ht="31.5">
      <c r="B134" s="295"/>
      <c r="C134" s="295"/>
      <c r="D134" s="292"/>
      <c r="E134" s="31" t="s">
        <v>299</v>
      </c>
      <c r="F134" s="49"/>
      <c r="G134" s="18"/>
      <c r="H134" s="220"/>
      <c r="I134" s="249">
        <v>3132</v>
      </c>
      <c r="J134" s="21">
        <v>207000</v>
      </c>
      <c r="K134" s="49"/>
      <c r="L134" s="49"/>
      <c r="M134" s="49"/>
      <c r="N134" s="49"/>
      <c r="O134" s="49"/>
      <c r="P134" s="49"/>
      <c r="Q134" s="49"/>
      <c r="R134" s="49"/>
      <c r="S134" s="21">
        <v>207000</v>
      </c>
      <c r="T134" s="49"/>
      <c r="U134" s="49"/>
      <c r="V134" s="49"/>
      <c r="W134" s="49">
        <f>133784.28+11823</f>
        <v>145607.28</v>
      </c>
      <c r="X134" s="40">
        <f t="shared" si="10"/>
        <v>61392.72</v>
      </c>
    </row>
    <row r="135" spans="2:24" ht="47.25">
      <c r="B135" s="295"/>
      <c r="C135" s="295"/>
      <c r="D135" s="292"/>
      <c r="E135" s="31" t="s">
        <v>300</v>
      </c>
      <c r="F135" s="49"/>
      <c r="G135" s="18"/>
      <c r="H135" s="220"/>
      <c r="I135" s="249">
        <v>3132</v>
      </c>
      <c r="J135" s="21">
        <v>86000</v>
      </c>
      <c r="K135" s="49"/>
      <c r="L135" s="49"/>
      <c r="M135" s="49"/>
      <c r="N135" s="49"/>
      <c r="O135" s="49"/>
      <c r="P135" s="49"/>
      <c r="Q135" s="49"/>
      <c r="R135" s="49"/>
      <c r="S135" s="21">
        <v>86000</v>
      </c>
      <c r="T135" s="49"/>
      <c r="U135" s="49"/>
      <c r="V135" s="49"/>
      <c r="W135" s="49"/>
      <c r="X135" s="40">
        <f t="shared" si="10"/>
        <v>86000</v>
      </c>
    </row>
    <row r="136" spans="2:24" ht="47.25">
      <c r="B136" s="295"/>
      <c r="C136" s="295"/>
      <c r="D136" s="292"/>
      <c r="E136" s="31" t="s">
        <v>301</v>
      </c>
      <c r="F136" s="49"/>
      <c r="G136" s="18"/>
      <c r="H136" s="220"/>
      <c r="I136" s="249">
        <v>3132</v>
      </c>
      <c r="J136" s="21">
        <v>212000</v>
      </c>
      <c r="K136" s="49"/>
      <c r="L136" s="49"/>
      <c r="M136" s="49"/>
      <c r="N136" s="49"/>
      <c r="O136" s="49"/>
      <c r="P136" s="49"/>
      <c r="Q136" s="49"/>
      <c r="R136" s="49"/>
      <c r="S136" s="21">
        <v>212000</v>
      </c>
      <c r="T136" s="49"/>
      <c r="U136" s="49"/>
      <c r="V136" s="49"/>
      <c r="W136" s="49">
        <v>137223.24</v>
      </c>
      <c r="X136" s="40">
        <f t="shared" si="10"/>
        <v>74776.76000000001</v>
      </c>
    </row>
    <row r="137" spans="2:24" ht="31.5">
      <c r="B137" s="295"/>
      <c r="C137" s="295"/>
      <c r="D137" s="292"/>
      <c r="E137" s="31" t="s">
        <v>302</v>
      </c>
      <c r="F137" s="49"/>
      <c r="G137" s="18"/>
      <c r="H137" s="220"/>
      <c r="I137" s="249">
        <v>3132</v>
      </c>
      <c r="J137" s="21">
        <f>203000+90000</f>
        <v>293000</v>
      </c>
      <c r="K137" s="49"/>
      <c r="L137" s="49"/>
      <c r="M137" s="49"/>
      <c r="N137" s="49"/>
      <c r="O137" s="49"/>
      <c r="P137" s="49"/>
      <c r="Q137" s="49"/>
      <c r="R137" s="49"/>
      <c r="S137" s="21">
        <v>203000</v>
      </c>
      <c r="T137" s="49">
        <v>90000</v>
      </c>
      <c r="U137" s="49"/>
      <c r="V137" s="49"/>
      <c r="W137" s="49">
        <f>138625.9+1200</f>
        <v>139825.9</v>
      </c>
      <c r="X137" s="40">
        <f t="shared" si="10"/>
        <v>153174.1</v>
      </c>
    </row>
    <row r="138" spans="2:24" ht="47.25">
      <c r="B138" s="295"/>
      <c r="C138" s="295"/>
      <c r="D138" s="292"/>
      <c r="E138" s="31" t="s">
        <v>303</v>
      </c>
      <c r="F138" s="49"/>
      <c r="G138" s="18"/>
      <c r="H138" s="220"/>
      <c r="I138" s="249">
        <v>3132</v>
      </c>
      <c r="J138" s="21">
        <v>52000</v>
      </c>
      <c r="K138" s="49"/>
      <c r="L138" s="49"/>
      <c r="M138" s="49"/>
      <c r="N138" s="49"/>
      <c r="O138" s="49"/>
      <c r="P138" s="49"/>
      <c r="Q138" s="49"/>
      <c r="R138" s="49"/>
      <c r="S138" s="21">
        <v>52000</v>
      </c>
      <c r="T138" s="49"/>
      <c r="U138" s="49"/>
      <c r="V138" s="49"/>
      <c r="W138" s="49">
        <v>25535</v>
      </c>
      <c r="X138" s="40">
        <f t="shared" si="10"/>
        <v>26465</v>
      </c>
    </row>
    <row r="139" spans="2:24" ht="31.5">
      <c r="B139" s="295"/>
      <c r="C139" s="295"/>
      <c r="D139" s="292"/>
      <c r="E139" s="31" t="s">
        <v>304</v>
      </c>
      <c r="F139" s="49"/>
      <c r="G139" s="18"/>
      <c r="H139" s="220"/>
      <c r="I139" s="249">
        <v>3132</v>
      </c>
      <c r="J139" s="21">
        <v>298000</v>
      </c>
      <c r="K139" s="49"/>
      <c r="L139" s="49"/>
      <c r="M139" s="49"/>
      <c r="N139" s="49"/>
      <c r="O139" s="49"/>
      <c r="P139" s="49"/>
      <c r="Q139" s="49"/>
      <c r="R139" s="49"/>
      <c r="S139" s="21">
        <v>298000</v>
      </c>
      <c r="T139" s="49"/>
      <c r="U139" s="49"/>
      <c r="V139" s="49"/>
      <c r="W139" s="49">
        <f>203934.5</f>
        <v>203934.5</v>
      </c>
      <c r="X139" s="40">
        <f t="shared" si="10"/>
        <v>94065.5</v>
      </c>
    </row>
    <row r="140" spans="2:24" ht="31.5">
      <c r="B140" s="295"/>
      <c r="C140" s="295"/>
      <c r="D140" s="292"/>
      <c r="E140" s="31" t="s">
        <v>305</v>
      </c>
      <c r="F140" s="49"/>
      <c r="G140" s="18"/>
      <c r="H140" s="220"/>
      <c r="I140" s="249">
        <v>3132</v>
      </c>
      <c r="J140" s="21">
        <v>306000</v>
      </c>
      <c r="K140" s="49"/>
      <c r="L140" s="49"/>
      <c r="M140" s="49"/>
      <c r="N140" s="49"/>
      <c r="O140" s="49"/>
      <c r="P140" s="49"/>
      <c r="Q140" s="49"/>
      <c r="R140" s="49"/>
      <c r="S140" s="21">
        <v>306000</v>
      </c>
      <c r="T140" s="49"/>
      <c r="U140" s="49"/>
      <c r="V140" s="49"/>
      <c r="W140" s="49">
        <v>206124.1</v>
      </c>
      <c r="X140" s="40">
        <f t="shared" si="10"/>
        <v>99875.9</v>
      </c>
    </row>
    <row r="141" spans="2:24" ht="31.5">
      <c r="B141" s="295"/>
      <c r="C141" s="295"/>
      <c r="D141" s="292"/>
      <c r="E141" s="31" t="s">
        <v>306</v>
      </c>
      <c r="F141" s="49"/>
      <c r="G141" s="18"/>
      <c r="H141" s="220"/>
      <c r="I141" s="249">
        <v>3132</v>
      </c>
      <c r="J141" s="21">
        <v>250000</v>
      </c>
      <c r="K141" s="49"/>
      <c r="L141" s="49"/>
      <c r="M141" s="49"/>
      <c r="N141" s="49"/>
      <c r="O141" s="49"/>
      <c r="P141" s="49"/>
      <c r="Q141" s="49"/>
      <c r="R141" s="49"/>
      <c r="S141" s="21">
        <v>250000</v>
      </c>
      <c r="T141" s="49"/>
      <c r="U141" s="49"/>
      <c r="V141" s="49"/>
      <c r="W141" s="49"/>
      <c r="X141" s="40">
        <f t="shared" si="10"/>
        <v>250000</v>
      </c>
    </row>
    <row r="142" spans="2:24" ht="31.5">
      <c r="B142" s="295"/>
      <c r="C142" s="295"/>
      <c r="D142" s="292"/>
      <c r="E142" s="31" t="s">
        <v>307</v>
      </c>
      <c r="F142" s="49"/>
      <c r="G142" s="18"/>
      <c r="H142" s="220"/>
      <c r="I142" s="249">
        <v>3132</v>
      </c>
      <c r="J142" s="21">
        <v>398000</v>
      </c>
      <c r="K142" s="49"/>
      <c r="L142" s="49"/>
      <c r="M142" s="49"/>
      <c r="N142" s="49"/>
      <c r="O142" s="49"/>
      <c r="P142" s="49"/>
      <c r="Q142" s="49"/>
      <c r="R142" s="49"/>
      <c r="S142" s="21">
        <v>398000</v>
      </c>
      <c r="T142" s="49"/>
      <c r="U142" s="49"/>
      <c r="V142" s="49"/>
      <c r="W142" s="49">
        <f>21640+261225.58</f>
        <v>282865.57999999996</v>
      </c>
      <c r="X142" s="40">
        <f t="shared" si="10"/>
        <v>115134.42000000004</v>
      </c>
    </row>
    <row r="143" spans="2:24" ht="47.25">
      <c r="B143" s="295"/>
      <c r="C143" s="295"/>
      <c r="D143" s="292"/>
      <c r="E143" s="31" t="s">
        <v>308</v>
      </c>
      <c r="F143" s="49"/>
      <c r="G143" s="18"/>
      <c r="H143" s="220"/>
      <c r="I143" s="249">
        <v>3132</v>
      </c>
      <c r="J143" s="21">
        <v>112000</v>
      </c>
      <c r="K143" s="49"/>
      <c r="L143" s="49"/>
      <c r="M143" s="49"/>
      <c r="N143" s="49"/>
      <c r="O143" s="49"/>
      <c r="P143" s="49"/>
      <c r="Q143" s="49"/>
      <c r="R143" s="49"/>
      <c r="S143" s="21">
        <v>112000</v>
      </c>
      <c r="T143" s="49"/>
      <c r="U143" s="49"/>
      <c r="V143" s="49"/>
      <c r="W143" s="49"/>
      <c r="X143" s="40">
        <f t="shared" si="10"/>
        <v>112000</v>
      </c>
    </row>
    <row r="144" spans="2:24" ht="31.5">
      <c r="B144" s="295"/>
      <c r="C144" s="295"/>
      <c r="D144" s="292"/>
      <c r="E144" s="31" t="s">
        <v>309</v>
      </c>
      <c r="F144" s="49"/>
      <c r="G144" s="18"/>
      <c r="H144" s="220"/>
      <c r="I144" s="249">
        <v>3132</v>
      </c>
      <c r="J144" s="21">
        <v>121000</v>
      </c>
      <c r="K144" s="49"/>
      <c r="L144" s="49"/>
      <c r="M144" s="49"/>
      <c r="N144" s="49"/>
      <c r="O144" s="49"/>
      <c r="P144" s="49"/>
      <c r="Q144" s="49"/>
      <c r="R144" s="49"/>
      <c r="S144" s="21">
        <v>121000</v>
      </c>
      <c r="T144" s="49"/>
      <c r="U144" s="49"/>
      <c r="V144" s="49"/>
      <c r="W144" s="49">
        <f>97621</f>
        <v>97621</v>
      </c>
      <c r="X144" s="40">
        <f t="shared" si="10"/>
        <v>23379</v>
      </c>
    </row>
    <row r="145" spans="2:24" ht="15.75">
      <c r="B145" s="295"/>
      <c r="C145" s="295"/>
      <c r="D145" s="292"/>
      <c r="E145" s="31" t="s">
        <v>754</v>
      </c>
      <c r="F145" s="49"/>
      <c r="G145" s="18"/>
      <c r="H145" s="220"/>
      <c r="I145" s="249">
        <v>3110</v>
      </c>
      <c r="J145" s="21">
        <v>4358</v>
      </c>
      <c r="K145" s="49"/>
      <c r="L145" s="49"/>
      <c r="M145" s="49"/>
      <c r="N145" s="49"/>
      <c r="O145" s="49"/>
      <c r="P145" s="49">
        <v>4358</v>
      </c>
      <c r="Q145" s="49"/>
      <c r="R145" s="49"/>
      <c r="S145" s="49"/>
      <c r="T145" s="49"/>
      <c r="U145" s="49"/>
      <c r="V145" s="49"/>
      <c r="W145" s="49"/>
      <c r="X145" s="40">
        <f t="shared" si="10"/>
        <v>4358</v>
      </c>
    </row>
    <row r="146" spans="2:24" ht="31.5">
      <c r="B146" s="295"/>
      <c r="C146" s="295"/>
      <c r="D146" s="292"/>
      <c r="E146" s="31" t="s">
        <v>132</v>
      </c>
      <c r="F146" s="49"/>
      <c r="G146" s="18"/>
      <c r="H146" s="220"/>
      <c r="I146" s="249">
        <v>3132</v>
      </c>
      <c r="J146" s="21">
        <v>148750</v>
      </c>
      <c r="K146" s="49"/>
      <c r="L146" s="49"/>
      <c r="M146" s="49"/>
      <c r="N146" s="49"/>
      <c r="O146" s="49"/>
      <c r="P146" s="49"/>
      <c r="Q146" s="49"/>
      <c r="R146" s="49"/>
      <c r="S146" s="49"/>
      <c r="T146" s="49">
        <v>148750</v>
      </c>
      <c r="U146" s="49"/>
      <c r="V146" s="49"/>
      <c r="W146" s="49">
        <v>101678.5</v>
      </c>
      <c r="X146" s="40">
        <f t="shared" si="10"/>
        <v>47071.5</v>
      </c>
    </row>
    <row r="147" spans="2:24" ht="47.25">
      <c r="B147" s="295"/>
      <c r="C147" s="295"/>
      <c r="D147" s="292"/>
      <c r="E147" s="31" t="s">
        <v>131</v>
      </c>
      <c r="F147" s="49"/>
      <c r="G147" s="18"/>
      <c r="H147" s="220"/>
      <c r="I147" s="249">
        <v>3132</v>
      </c>
      <c r="J147" s="21">
        <v>90000</v>
      </c>
      <c r="K147" s="49"/>
      <c r="L147" s="49"/>
      <c r="M147" s="49"/>
      <c r="N147" s="49"/>
      <c r="O147" s="49"/>
      <c r="P147" s="49"/>
      <c r="Q147" s="49"/>
      <c r="R147" s="49"/>
      <c r="S147" s="49"/>
      <c r="T147" s="49">
        <v>90000</v>
      </c>
      <c r="U147" s="49"/>
      <c r="V147" s="49"/>
      <c r="W147" s="49"/>
      <c r="X147" s="40">
        <f t="shared" si="10"/>
        <v>90000</v>
      </c>
    </row>
    <row r="148" spans="2:24" ht="31.5">
      <c r="B148" s="295"/>
      <c r="C148" s="295"/>
      <c r="D148" s="292"/>
      <c r="E148" s="31" t="s">
        <v>129</v>
      </c>
      <c r="F148" s="49"/>
      <c r="G148" s="18"/>
      <c r="H148" s="220"/>
      <c r="I148" s="249">
        <v>3132</v>
      </c>
      <c r="J148" s="21">
        <v>326000</v>
      </c>
      <c r="K148" s="49"/>
      <c r="L148" s="49"/>
      <c r="M148" s="49"/>
      <c r="N148" s="49"/>
      <c r="O148" s="49"/>
      <c r="P148" s="49"/>
      <c r="Q148" s="49"/>
      <c r="R148" s="49"/>
      <c r="S148" s="49"/>
      <c r="T148" s="49">
        <v>326000</v>
      </c>
      <c r="U148" s="49"/>
      <c r="V148" s="49"/>
      <c r="W148" s="49"/>
      <c r="X148" s="40">
        <f t="shared" si="10"/>
        <v>326000</v>
      </c>
    </row>
    <row r="149" spans="2:24" ht="31.5">
      <c r="B149" s="295"/>
      <c r="C149" s="295"/>
      <c r="D149" s="292"/>
      <c r="E149" s="31" t="s">
        <v>133</v>
      </c>
      <c r="F149" s="49"/>
      <c r="G149" s="18"/>
      <c r="H149" s="220"/>
      <c r="I149" s="249">
        <v>3132</v>
      </c>
      <c r="J149" s="21">
        <v>70000</v>
      </c>
      <c r="K149" s="49"/>
      <c r="L149" s="49"/>
      <c r="M149" s="49"/>
      <c r="N149" s="49"/>
      <c r="O149" s="49"/>
      <c r="P149" s="49"/>
      <c r="Q149" s="49"/>
      <c r="R149" s="49"/>
      <c r="S149" s="49"/>
      <c r="T149" s="49">
        <v>70000</v>
      </c>
      <c r="U149" s="49"/>
      <c r="V149" s="49"/>
      <c r="W149" s="49"/>
      <c r="X149" s="40">
        <f t="shared" si="10"/>
        <v>70000</v>
      </c>
    </row>
    <row r="150" spans="2:24" ht="47.25">
      <c r="B150" s="295"/>
      <c r="C150" s="295"/>
      <c r="D150" s="292"/>
      <c r="E150" s="31" t="s">
        <v>134</v>
      </c>
      <c r="F150" s="49"/>
      <c r="G150" s="18"/>
      <c r="H150" s="220"/>
      <c r="I150" s="249">
        <v>3132</v>
      </c>
      <c r="J150" s="21">
        <v>68750</v>
      </c>
      <c r="K150" s="49"/>
      <c r="L150" s="49"/>
      <c r="M150" s="49"/>
      <c r="N150" s="49"/>
      <c r="O150" s="49"/>
      <c r="P150" s="49"/>
      <c r="Q150" s="49"/>
      <c r="R150" s="49"/>
      <c r="S150" s="49"/>
      <c r="T150" s="49">
        <v>68750</v>
      </c>
      <c r="U150" s="49"/>
      <c r="V150" s="49"/>
      <c r="W150" s="49"/>
      <c r="X150" s="40">
        <f t="shared" si="10"/>
        <v>68750</v>
      </c>
    </row>
    <row r="151" spans="2:24" ht="47.25">
      <c r="B151" s="295"/>
      <c r="C151" s="295"/>
      <c r="D151" s="305"/>
      <c r="E151" s="31" t="s">
        <v>649</v>
      </c>
      <c r="F151" s="49">
        <v>120000</v>
      </c>
      <c r="G151" s="18">
        <f>100%-((F151-H151)/F151)</f>
        <v>1</v>
      </c>
      <c r="H151" s="220">
        <v>120000</v>
      </c>
      <c r="I151" s="249">
        <v>3132</v>
      </c>
      <c r="J151" s="21">
        <v>120000</v>
      </c>
      <c r="K151" s="200"/>
      <c r="L151" s="200"/>
      <c r="M151" s="200"/>
      <c r="N151" s="200"/>
      <c r="O151" s="200"/>
      <c r="P151" s="200"/>
      <c r="Q151" s="200">
        <v>120000</v>
      </c>
      <c r="R151" s="200"/>
      <c r="S151" s="200"/>
      <c r="T151" s="200"/>
      <c r="U151" s="200"/>
      <c r="V151" s="200"/>
      <c r="W151" s="49">
        <f>2263.55+4401.36+880.27</f>
        <v>7545.18</v>
      </c>
      <c r="X151" s="40">
        <f t="shared" si="10"/>
        <v>112454.82</v>
      </c>
    </row>
    <row r="152" spans="2:24" ht="15.75">
      <c r="B152" s="301" t="s">
        <v>878</v>
      </c>
      <c r="C152" s="301" t="s">
        <v>119</v>
      </c>
      <c r="D152" s="304" t="s">
        <v>118</v>
      </c>
      <c r="E152" s="70"/>
      <c r="F152" s="45"/>
      <c r="G152" s="46"/>
      <c r="H152" s="216"/>
      <c r="I152" s="249">
        <v>3132</v>
      </c>
      <c r="J152" s="185">
        <f>J153+J154+J156+J163+J164+J167+J172+J173+J176+J178+J179+J184+J185+J186+J188+J189+J190+J191+J192+J193+J194+J195+J196+J197+J198+J199+J200+J201+J202+J203+J204+J205+J206+J207+J208+J209+J210+J211+J212+J213+J214+J215+J216+J218+J219+J220+J221+J222+J223+J224+J225+J226+J227+J228+J229+J230+J231+J232+J233+J234+J235+J236+J237+J238+J239+J241+J243+J244+J267+J245+J246+J247+J248+J249+J217+J242+J240+J255+J256+J257+J258+J259+J260+J261+J262+J250+J251+J252+J253+J254+J263+J264+J265+J266+J187</f>
        <v>22976334.77</v>
      </c>
      <c r="K152" s="185">
        <f aca="true" t="shared" si="12" ref="K152:W152">K153+K154+K156+K163+K164+K167+K172+K173+K176+K178+K179+K184+K185+K186+K188+K189+K190+K191+K192+K193+K194+K195+K196+K197+K198+K199+K200+K201+K202+K203+K204+K205+K206+K207+K208+K209+K210+K211+K212+K213+K214+K215+K216+K218+K219+K220+K221+K222+K223+K224+K225+K226+K227+K228+K229+K230+K231+K232+K233+K234+K235+K236+K237+K238+K239+K241+K243+K244+K267+K245+K246+K247+K248+K249+K217+K242+K240+K255+K256+K257+K258+K259+K260+K261+K262+K250+K251+K252+K253+K254+K263+K264+K265+K266+K187</f>
        <v>0</v>
      </c>
      <c r="L152" s="185">
        <f t="shared" si="12"/>
        <v>643534.77</v>
      </c>
      <c r="M152" s="185">
        <f t="shared" si="12"/>
        <v>0</v>
      </c>
      <c r="N152" s="185">
        <f t="shared" si="12"/>
        <v>21600</v>
      </c>
      <c r="O152" s="185">
        <f t="shared" si="12"/>
        <v>1976524.65</v>
      </c>
      <c r="P152" s="185">
        <f t="shared" si="12"/>
        <v>-262600</v>
      </c>
      <c r="Q152" s="185">
        <f t="shared" si="12"/>
        <v>9996552.31</v>
      </c>
      <c r="R152" s="185">
        <f t="shared" si="12"/>
        <v>1923723.04</v>
      </c>
      <c r="S152" s="185">
        <f t="shared" si="12"/>
        <v>6310100</v>
      </c>
      <c r="T152" s="185">
        <f t="shared" si="12"/>
        <v>409800</v>
      </c>
      <c r="U152" s="185">
        <f t="shared" si="12"/>
        <v>238100</v>
      </c>
      <c r="V152" s="185">
        <f t="shared" si="12"/>
        <v>1719000</v>
      </c>
      <c r="W152" s="185">
        <f t="shared" si="12"/>
        <v>9976379.999999998</v>
      </c>
      <c r="X152" s="184">
        <f t="shared" si="10"/>
        <v>11042854.770000001</v>
      </c>
    </row>
    <row r="153" spans="2:24" ht="78.75">
      <c r="B153" s="295"/>
      <c r="C153" s="295"/>
      <c r="D153" s="292"/>
      <c r="E153" s="266" t="s">
        <v>650</v>
      </c>
      <c r="F153" s="45"/>
      <c r="G153" s="46"/>
      <c r="H153" s="216"/>
      <c r="I153" s="249">
        <v>3132</v>
      </c>
      <c r="J153" s="9">
        <f>40318.44-15830.04</f>
        <v>24488.4</v>
      </c>
      <c r="K153" s="49"/>
      <c r="L153" s="9">
        <f>40318.44-15830.04</f>
        <v>24488.4</v>
      </c>
      <c r="M153" s="49"/>
      <c r="N153" s="49"/>
      <c r="O153" s="49"/>
      <c r="P153" s="49"/>
      <c r="Q153" s="49"/>
      <c r="R153" s="49"/>
      <c r="S153" s="49"/>
      <c r="T153" s="49"/>
      <c r="U153" s="49"/>
      <c r="V153" s="49"/>
      <c r="W153" s="49">
        <v>24488.4</v>
      </c>
      <c r="X153" s="40">
        <f t="shared" si="10"/>
        <v>0</v>
      </c>
    </row>
    <row r="154" spans="2:24" ht="47.25">
      <c r="B154" s="295"/>
      <c r="C154" s="295"/>
      <c r="D154" s="292"/>
      <c r="E154" s="267" t="s">
        <v>651</v>
      </c>
      <c r="F154" s="45"/>
      <c r="G154" s="46"/>
      <c r="H154" s="216"/>
      <c r="I154" s="249"/>
      <c r="J154" s="13">
        <f>J155</f>
        <v>2079.58</v>
      </c>
      <c r="K154" s="49"/>
      <c r="L154" s="13">
        <f>L155</f>
        <v>2079.58</v>
      </c>
      <c r="M154" s="49"/>
      <c r="N154" s="49"/>
      <c r="O154" s="49"/>
      <c r="P154" s="49"/>
      <c r="Q154" s="49"/>
      <c r="R154" s="49"/>
      <c r="S154" s="49"/>
      <c r="T154" s="49"/>
      <c r="U154" s="49"/>
      <c r="V154" s="49"/>
      <c r="W154" s="49">
        <f>W155</f>
        <v>2079.58</v>
      </c>
      <c r="X154" s="40">
        <f aca="true" t="shared" si="13" ref="X154:X218">K154+L154+M154+N154+O154+P154+Q154+R154+S154+T154-W154</f>
        <v>0</v>
      </c>
    </row>
    <row r="155" spans="2:24" ht="31.5">
      <c r="B155" s="295"/>
      <c r="C155" s="295"/>
      <c r="D155" s="292"/>
      <c r="E155" s="268" t="s">
        <v>685</v>
      </c>
      <c r="F155" s="45"/>
      <c r="G155" s="46"/>
      <c r="H155" s="216"/>
      <c r="I155" s="249">
        <v>3132</v>
      </c>
      <c r="J155" s="9">
        <v>2079.58</v>
      </c>
      <c r="K155" s="49"/>
      <c r="L155" s="9">
        <v>2079.58</v>
      </c>
      <c r="M155" s="49"/>
      <c r="N155" s="49"/>
      <c r="O155" s="49"/>
      <c r="P155" s="49"/>
      <c r="Q155" s="49"/>
      <c r="R155" s="49"/>
      <c r="S155" s="49"/>
      <c r="T155" s="49"/>
      <c r="U155" s="49"/>
      <c r="V155" s="49"/>
      <c r="W155" s="49">
        <v>2079.58</v>
      </c>
      <c r="X155" s="40">
        <f t="shared" si="13"/>
        <v>0</v>
      </c>
    </row>
    <row r="156" spans="2:24" ht="31.5">
      <c r="B156" s="295"/>
      <c r="C156" s="295"/>
      <c r="D156" s="292"/>
      <c r="E156" s="269" t="s">
        <v>686</v>
      </c>
      <c r="F156" s="45"/>
      <c r="G156" s="46"/>
      <c r="H156" s="216"/>
      <c r="I156" s="249"/>
      <c r="J156" s="14">
        <f>SUM(J157:J162)</f>
        <v>24380.399999999998</v>
      </c>
      <c r="K156" s="49"/>
      <c r="L156" s="14">
        <f>SUM(L157:L162)</f>
        <v>24380.399999999998</v>
      </c>
      <c r="M156" s="49"/>
      <c r="N156" s="49"/>
      <c r="O156" s="49"/>
      <c r="P156" s="49"/>
      <c r="Q156" s="49"/>
      <c r="R156" s="49"/>
      <c r="S156" s="49"/>
      <c r="T156" s="49"/>
      <c r="U156" s="49"/>
      <c r="V156" s="49"/>
      <c r="W156" s="49">
        <f>W157+W158+W159+W160+W161+W162</f>
        <v>24380.399999999998</v>
      </c>
      <c r="X156" s="40">
        <f t="shared" si="13"/>
        <v>0</v>
      </c>
    </row>
    <row r="157" spans="2:24" ht="47.25">
      <c r="B157" s="295"/>
      <c r="C157" s="295"/>
      <c r="D157" s="292"/>
      <c r="E157" s="270" t="s">
        <v>831</v>
      </c>
      <c r="F157" s="45"/>
      <c r="G157" s="46"/>
      <c r="H157" s="216"/>
      <c r="I157" s="249">
        <v>3132</v>
      </c>
      <c r="J157" s="9">
        <v>4051.2</v>
      </c>
      <c r="K157" s="49"/>
      <c r="L157" s="9">
        <v>4051.2</v>
      </c>
      <c r="M157" s="49"/>
      <c r="N157" s="49"/>
      <c r="O157" s="49"/>
      <c r="P157" s="49"/>
      <c r="Q157" s="49"/>
      <c r="R157" s="49"/>
      <c r="S157" s="49"/>
      <c r="T157" s="49"/>
      <c r="U157" s="49"/>
      <c r="V157" s="49"/>
      <c r="W157" s="49">
        <v>4051.2</v>
      </c>
      <c r="X157" s="40">
        <f t="shared" si="13"/>
        <v>0</v>
      </c>
    </row>
    <row r="158" spans="2:24" ht="47.25">
      <c r="B158" s="295"/>
      <c r="C158" s="295"/>
      <c r="D158" s="292"/>
      <c r="E158" s="270" t="s">
        <v>832</v>
      </c>
      <c r="F158" s="45"/>
      <c r="G158" s="46"/>
      <c r="H158" s="216"/>
      <c r="I158" s="249">
        <v>3132</v>
      </c>
      <c r="J158" s="9">
        <v>4141.2</v>
      </c>
      <c r="K158" s="49"/>
      <c r="L158" s="9">
        <v>4141.2</v>
      </c>
      <c r="M158" s="49"/>
      <c r="N158" s="49"/>
      <c r="O158" s="49"/>
      <c r="P158" s="49"/>
      <c r="Q158" s="49"/>
      <c r="R158" s="49"/>
      <c r="S158" s="49"/>
      <c r="T158" s="49"/>
      <c r="U158" s="49"/>
      <c r="V158" s="49"/>
      <c r="W158" s="49">
        <v>4141.2</v>
      </c>
      <c r="X158" s="40">
        <f t="shared" si="13"/>
        <v>0</v>
      </c>
    </row>
    <row r="159" spans="2:24" ht="47.25">
      <c r="B159" s="295"/>
      <c r="C159" s="295"/>
      <c r="D159" s="292"/>
      <c r="E159" s="270" t="s">
        <v>833</v>
      </c>
      <c r="F159" s="45"/>
      <c r="G159" s="46"/>
      <c r="H159" s="216"/>
      <c r="I159" s="249">
        <v>3132</v>
      </c>
      <c r="J159" s="9">
        <v>4081.2</v>
      </c>
      <c r="K159" s="49"/>
      <c r="L159" s="9">
        <v>4081.2</v>
      </c>
      <c r="M159" s="49"/>
      <c r="N159" s="49"/>
      <c r="O159" s="49"/>
      <c r="P159" s="49"/>
      <c r="Q159" s="49"/>
      <c r="R159" s="49"/>
      <c r="S159" s="49"/>
      <c r="T159" s="49"/>
      <c r="U159" s="49"/>
      <c r="V159" s="49"/>
      <c r="W159" s="49">
        <v>4081.2</v>
      </c>
      <c r="X159" s="40">
        <f t="shared" si="13"/>
        <v>0</v>
      </c>
    </row>
    <row r="160" spans="2:24" ht="47.25">
      <c r="B160" s="295"/>
      <c r="C160" s="295"/>
      <c r="D160" s="292"/>
      <c r="E160" s="270" t="s">
        <v>834</v>
      </c>
      <c r="F160" s="45"/>
      <c r="G160" s="46"/>
      <c r="H160" s="216"/>
      <c r="I160" s="249">
        <v>3132</v>
      </c>
      <c r="J160" s="9">
        <v>4039.2</v>
      </c>
      <c r="K160" s="49"/>
      <c r="L160" s="9">
        <v>4039.2</v>
      </c>
      <c r="M160" s="49"/>
      <c r="N160" s="49"/>
      <c r="O160" s="49"/>
      <c r="P160" s="49"/>
      <c r="Q160" s="49"/>
      <c r="R160" s="49"/>
      <c r="S160" s="49"/>
      <c r="T160" s="49"/>
      <c r="U160" s="49"/>
      <c r="V160" s="49"/>
      <c r="W160" s="49">
        <v>4039.2</v>
      </c>
      <c r="X160" s="40">
        <f t="shared" si="13"/>
        <v>0</v>
      </c>
    </row>
    <row r="161" spans="2:24" ht="47.25">
      <c r="B161" s="295"/>
      <c r="C161" s="295"/>
      <c r="D161" s="292"/>
      <c r="E161" s="270" t="s">
        <v>930</v>
      </c>
      <c r="F161" s="45"/>
      <c r="G161" s="46"/>
      <c r="H161" s="216"/>
      <c r="I161" s="249">
        <v>3132</v>
      </c>
      <c r="J161" s="9">
        <v>4002</v>
      </c>
      <c r="K161" s="49"/>
      <c r="L161" s="9">
        <v>4002</v>
      </c>
      <c r="M161" s="49"/>
      <c r="N161" s="49"/>
      <c r="O161" s="49"/>
      <c r="P161" s="49"/>
      <c r="Q161" s="49"/>
      <c r="R161" s="49"/>
      <c r="S161" s="49"/>
      <c r="T161" s="49"/>
      <c r="U161" s="49"/>
      <c r="V161" s="49"/>
      <c r="W161" s="49">
        <v>4002</v>
      </c>
      <c r="X161" s="40">
        <f t="shared" si="13"/>
        <v>0</v>
      </c>
    </row>
    <row r="162" spans="2:24" ht="47.25">
      <c r="B162" s="295"/>
      <c r="C162" s="295"/>
      <c r="D162" s="292"/>
      <c r="E162" s="270" t="s">
        <v>931</v>
      </c>
      <c r="F162" s="45"/>
      <c r="G162" s="46"/>
      <c r="H162" s="216"/>
      <c r="I162" s="249">
        <v>3132</v>
      </c>
      <c r="J162" s="9">
        <v>4065.6</v>
      </c>
      <c r="K162" s="49"/>
      <c r="L162" s="9">
        <v>4065.6</v>
      </c>
      <c r="M162" s="49"/>
      <c r="N162" s="49"/>
      <c r="O162" s="49"/>
      <c r="P162" s="49"/>
      <c r="Q162" s="49"/>
      <c r="R162" s="49"/>
      <c r="S162" s="49"/>
      <c r="T162" s="49"/>
      <c r="U162" s="49"/>
      <c r="V162" s="49"/>
      <c r="W162" s="49">
        <v>4065.6</v>
      </c>
      <c r="X162" s="40">
        <f t="shared" si="13"/>
        <v>0</v>
      </c>
    </row>
    <row r="163" spans="2:24" ht="47.25">
      <c r="B163" s="295"/>
      <c r="C163" s="295"/>
      <c r="D163" s="292"/>
      <c r="E163" s="267" t="s">
        <v>932</v>
      </c>
      <c r="F163" s="45"/>
      <c r="G163" s="46"/>
      <c r="H163" s="216"/>
      <c r="I163" s="249">
        <v>3132</v>
      </c>
      <c r="J163" s="9">
        <v>87207.05</v>
      </c>
      <c r="K163" s="49"/>
      <c r="L163" s="9">
        <v>87207.05</v>
      </c>
      <c r="M163" s="49"/>
      <c r="N163" s="49"/>
      <c r="O163" s="49"/>
      <c r="P163" s="49"/>
      <c r="Q163" s="49"/>
      <c r="R163" s="49"/>
      <c r="S163" s="49"/>
      <c r="T163" s="49"/>
      <c r="U163" s="49"/>
      <c r="V163" s="49"/>
      <c r="W163" s="49">
        <v>87207.05</v>
      </c>
      <c r="X163" s="40">
        <f t="shared" si="13"/>
        <v>0</v>
      </c>
    </row>
    <row r="164" spans="2:24" ht="15.75">
      <c r="B164" s="295"/>
      <c r="C164" s="295"/>
      <c r="D164" s="292"/>
      <c r="E164" s="271" t="s">
        <v>933</v>
      </c>
      <c r="F164" s="45"/>
      <c r="G164" s="46"/>
      <c r="H164" s="216"/>
      <c r="I164" s="249"/>
      <c r="J164" s="15">
        <f>SUM(J165:J166)</f>
        <v>7326.78</v>
      </c>
      <c r="K164" s="49"/>
      <c r="L164" s="15">
        <f>SUM(L165:L166)</f>
        <v>7326.78</v>
      </c>
      <c r="M164" s="49"/>
      <c r="N164" s="49"/>
      <c r="O164" s="49"/>
      <c r="P164" s="49"/>
      <c r="Q164" s="49"/>
      <c r="R164" s="49"/>
      <c r="S164" s="49"/>
      <c r="T164" s="49"/>
      <c r="U164" s="49"/>
      <c r="V164" s="49"/>
      <c r="W164" s="49">
        <f>W165+W166</f>
        <v>7326.78</v>
      </c>
      <c r="X164" s="40">
        <f t="shared" si="13"/>
        <v>0</v>
      </c>
    </row>
    <row r="165" spans="2:24" ht="31.5">
      <c r="B165" s="295"/>
      <c r="C165" s="295"/>
      <c r="D165" s="292"/>
      <c r="E165" s="272" t="s">
        <v>934</v>
      </c>
      <c r="F165" s="45"/>
      <c r="G165" s="46"/>
      <c r="H165" s="216"/>
      <c r="I165" s="249">
        <v>3132</v>
      </c>
      <c r="J165" s="9">
        <v>2744.5</v>
      </c>
      <c r="K165" s="49"/>
      <c r="L165" s="9">
        <v>2744.5</v>
      </c>
      <c r="M165" s="49"/>
      <c r="N165" s="49"/>
      <c r="O165" s="49"/>
      <c r="P165" s="49"/>
      <c r="Q165" s="49"/>
      <c r="R165" s="49"/>
      <c r="S165" s="49"/>
      <c r="T165" s="49"/>
      <c r="U165" s="49"/>
      <c r="V165" s="49"/>
      <c r="W165" s="49">
        <v>2744.5</v>
      </c>
      <c r="X165" s="40">
        <f t="shared" si="13"/>
        <v>0</v>
      </c>
    </row>
    <row r="166" spans="2:24" ht="31.5">
      <c r="B166" s="295"/>
      <c r="C166" s="295"/>
      <c r="D166" s="292"/>
      <c r="E166" s="272" t="s">
        <v>935</v>
      </c>
      <c r="F166" s="45"/>
      <c r="G166" s="46"/>
      <c r="H166" s="216"/>
      <c r="I166" s="249">
        <v>3132</v>
      </c>
      <c r="J166" s="9">
        <v>4582.28</v>
      </c>
      <c r="K166" s="49"/>
      <c r="L166" s="9">
        <v>4582.28</v>
      </c>
      <c r="M166" s="49"/>
      <c r="N166" s="49"/>
      <c r="O166" s="49"/>
      <c r="P166" s="49"/>
      <c r="Q166" s="49"/>
      <c r="R166" s="49"/>
      <c r="S166" s="49"/>
      <c r="T166" s="49"/>
      <c r="U166" s="49"/>
      <c r="V166" s="49"/>
      <c r="W166" s="49">
        <v>4582.28</v>
      </c>
      <c r="X166" s="40">
        <f t="shared" si="13"/>
        <v>0</v>
      </c>
    </row>
    <row r="167" spans="2:24" ht="47.25">
      <c r="B167" s="295"/>
      <c r="C167" s="295"/>
      <c r="D167" s="292"/>
      <c r="E167" s="267" t="s">
        <v>936</v>
      </c>
      <c r="F167" s="45"/>
      <c r="G167" s="46"/>
      <c r="H167" s="216"/>
      <c r="I167" s="249"/>
      <c r="J167" s="16">
        <f>SUM(J168:J171)</f>
        <v>53246.98</v>
      </c>
      <c r="K167" s="49"/>
      <c r="L167" s="16">
        <f>SUM(L168:L171)</f>
        <v>53246.98</v>
      </c>
      <c r="M167" s="49"/>
      <c r="N167" s="49"/>
      <c r="O167" s="49"/>
      <c r="P167" s="49"/>
      <c r="Q167" s="49"/>
      <c r="R167" s="49"/>
      <c r="S167" s="49"/>
      <c r="T167" s="49"/>
      <c r="U167" s="49"/>
      <c r="V167" s="49"/>
      <c r="W167" s="49">
        <f>W168+W169+W170+W171</f>
        <v>53246.98</v>
      </c>
      <c r="X167" s="40">
        <f t="shared" si="13"/>
        <v>0</v>
      </c>
    </row>
    <row r="168" spans="2:24" ht="31.5">
      <c r="B168" s="295"/>
      <c r="C168" s="295"/>
      <c r="D168" s="292"/>
      <c r="E168" s="268" t="s">
        <v>937</v>
      </c>
      <c r="F168" s="45"/>
      <c r="G168" s="46"/>
      <c r="H168" s="216"/>
      <c r="I168" s="249">
        <v>3132</v>
      </c>
      <c r="J168" s="9">
        <f>29696.75-5</f>
        <v>29691.75</v>
      </c>
      <c r="K168" s="49"/>
      <c r="L168" s="9">
        <f>29696.75-5</f>
        <v>29691.75</v>
      </c>
      <c r="M168" s="49"/>
      <c r="N168" s="49"/>
      <c r="O168" s="49"/>
      <c r="P168" s="49"/>
      <c r="Q168" s="49"/>
      <c r="R168" s="49"/>
      <c r="S168" s="49"/>
      <c r="T168" s="49"/>
      <c r="U168" s="49"/>
      <c r="V168" s="49"/>
      <c r="W168" s="49">
        <v>29691.75</v>
      </c>
      <c r="X168" s="40">
        <f t="shared" si="13"/>
        <v>0</v>
      </c>
    </row>
    <row r="169" spans="2:24" ht="31.5">
      <c r="B169" s="295"/>
      <c r="C169" s="295"/>
      <c r="D169" s="292"/>
      <c r="E169" s="268" t="s">
        <v>938</v>
      </c>
      <c r="F169" s="45"/>
      <c r="G169" s="46"/>
      <c r="H169" s="216"/>
      <c r="I169" s="249">
        <v>3132</v>
      </c>
      <c r="J169" s="9">
        <v>1637.45</v>
      </c>
      <c r="K169" s="49"/>
      <c r="L169" s="9">
        <v>1637.45</v>
      </c>
      <c r="M169" s="49"/>
      <c r="N169" s="49"/>
      <c r="O169" s="49"/>
      <c r="P169" s="49"/>
      <c r="Q169" s="49"/>
      <c r="R169" s="49"/>
      <c r="S169" s="49"/>
      <c r="T169" s="49"/>
      <c r="U169" s="49"/>
      <c r="V169" s="49"/>
      <c r="W169" s="49">
        <v>1637.45</v>
      </c>
      <c r="X169" s="40">
        <f t="shared" si="13"/>
        <v>0</v>
      </c>
    </row>
    <row r="170" spans="2:24" ht="31.5">
      <c r="B170" s="295"/>
      <c r="C170" s="295"/>
      <c r="D170" s="292"/>
      <c r="E170" s="268" t="s">
        <v>939</v>
      </c>
      <c r="F170" s="45"/>
      <c r="G170" s="46"/>
      <c r="H170" s="216"/>
      <c r="I170" s="249">
        <v>3132</v>
      </c>
      <c r="J170" s="9">
        <v>2611.78</v>
      </c>
      <c r="K170" s="49"/>
      <c r="L170" s="9">
        <v>2611.78</v>
      </c>
      <c r="M170" s="49"/>
      <c r="N170" s="49"/>
      <c r="O170" s="49"/>
      <c r="P170" s="49"/>
      <c r="Q170" s="49"/>
      <c r="R170" s="49"/>
      <c r="S170" s="49"/>
      <c r="T170" s="49"/>
      <c r="U170" s="49"/>
      <c r="V170" s="49"/>
      <c r="W170" s="49">
        <v>2611.78</v>
      </c>
      <c r="X170" s="40">
        <f t="shared" si="13"/>
        <v>0</v>
      </c>
    </row>
    <row r="171" spans="2:24" ht="47.25">
      <c r="B171" s="295"/>
      <c r="C171" s="295"/>
      <c r="D171" s="292"/>
      <c r="E171" s="268" t="s">
        <v>940</v>
      </c>
      <c r="F171" s="45"/>
      <c r="G171" s="46"/>
      <c r="H171" s="216"/>
      <c r="I171" s="249">
        <v>3132</v>
      </c>
      <c r="J171" s="9">
        <v>19306</v>
      </c>
      <c r="K171" s="49"/>
      <c r="L171" s="9">
        <v>19306</v>
      </c>
      <c r="M171" s="49"/>
      <c r="N171" s="49"/>
      <c r="O171" s="49"/>
      <c r="P171" s="49"/>
      <c r="Q171" s="49"/>
      <c r="R171" s="49"/>
      <c r="S171" s="49"/>
      <c r="T171" s="49"/>
      <c r="U171" s="49"/>
      <c r="V171" s="49"/>
      <c r="W171" s="49">
        <v>19306</v>
      </c>
      <c r="X171" s="40">
        <f t="shared" si="13"/>
        <v>0</v>
      </c>
    </row>
    <row r="172" spans="2:24" ht="63">
      <c r="B172" s="295"/>
      <c r="C172" s="295"/>
      <c r="D172" s="292"/>
      <c r="E172" s="267" t="s">
        <v>941</v>
      </c>
      <c r="F172" s="45"/>
      <c r="G172" s="46"/>
      <c r="H172" s="216"/>
      <c r="I172" s="249">
        <v>3132</v>
      </c>
      <c r="J172" s="9">
        <v>9674</v>
      </c>
      <c r="K172" s="49"/>
      <c r="L172" s="9">
        <v>9674</v>
      </c>
      <c r="M172" s="49"/>
      <c r="N172" s="49"/>
      <c r="O172" s="49"/>
      <c r="P172" s="49"/>
      <c r="Q172" s="49"/>
      <c r="R172" s="49"/>
      <c r="S172" s="49"/>
      <c r="T172" s="49"/>
      <c r="U172" s="49"/>
      <c r="V172" s="49"/>
      <c r="W172" s="49">
        <v>9674</v>
      </c>
      <c r="X172" s="40">
        <f t="shared" si="13"/>
        <v>0</v>
      </c>
    </row>
    <row r="173" spans="2:24" ht="15.75">
      <c r="B173" s="295"/>
      <c r="C173" s="295"/>
      <c r="D173" s="292"/>
      <c r="E173" s="267" t="s">
        <v>942</v>
      </c>
      <c r="F173" s="45"/>
      <c r="G173" s="46"/>
      <c r="H173" s="216"/>
      <c r="I173" s="249"/>
      <c r="J173" s="17">
        <f>SUM(J174:J175)</f>
        <v>24226.78</v>
      </c>
      <c r="K173" s="49"/>
      <c r="L173" s="17">
        <f>SUM(L174:L175)</f>
        <v>24226.78</v>
      </c>
      <c r="M173" s="49"/>
      <c r="N173" s="49"/>
      <c r="O173" s="49"/>
      <c r="P173" s="49"/>
      <c r="Q173" s="49"/>
      <c r="R173" s="49"/>
      <c r="S173" s="49"/>
      <c r="T173" s="49"/>
      <c r="U173" s="49"/>
      <c r="V173" s="49"/>
      <c r="W173" s="49">
        <f>W174+W175</f>
        <v>24226.78</v>
      </c>
      <c r="X173" s="40">
        <f t="shared" si="13"/>
        <v>0</v>
      </c>
    </row>
    <row r="174" spans="2:24" ht="47.25">
      <c r="B174" s="295"/>
      <c r="C174" s="295"/>
      <c r="D174" s="292"/>
      <c r="E174" s="268" t="s">
        <v>943</v>
      </c>
      <c r="F174" s="45"/>
      <c r="G174" s="46"/>
      <c r="H174" s="216"/>
      <c r="I174" s="249">
        <v>3132</v>
      </c>
      <c r="J174" s="9">
        <v>12079.25</v>
      </c>
      <c r="K174" s="49"/>
      <c r="L174" s="9">
        <v>12079.25</v>
      </c>
      <c r="M174" s="49"/>
      <c r="N174" s="49"/>
      <c r="O174" s="49"/>
      <c r="P174" s="49"/>
      <c r="Q174" s="49"/>
      <c r="R174" s="49"/>
      <c r="S174" s="49"/>
      <c r="T174" s="49"/>
      <c r="U174" s="49"/>
      <c r="V174" s="49"/>
      <c r="W174" s="49">
        <v>12079.25</v>
      </c>
      <c r="X174" s="40">
        <f t="shared" si="13"/>
        <v>0</v>
      </c>
    </row>
    <row r="175" spans="2:24" ht="47.25">
      <c r="B175" s="295"/>
      <c r="C175" s="295"/>
      <c r="D175" s="292"/>
      <c r="E175" s="268" t="s">
        <v>944</v>
      </c>
      <c r="F175" s="45"/>
      <c r="G175" s="46"/>
      <c r="H175" s="216"/>
      <c r="I175" s="249">
        <v>3132</v>
      </c>
      <c r="J175" s="9">
        <v>12147.53</v>
      </c>
      <c r="K175" s="49"/>
      <c r="L175" s="9">
        <v>12147.53</v>
      </c>
      <c r="M175" s="49"/>
      <c r="N175" s="49"/>
      <c r="O175" s="49"/>
      <c r="P175" s="49"/>
      <c r="Q175" s="49"/>
      <c r="R175" s="49"/>
      <c r="S175" s="49"/>
      <c r="T175" s="49"/>
      <c r="U175" s="49"/>
      <c r="V175" s="49"/>
      <c r="W175" s="49">
        <v>12147.53</v>
      </c>
      <c r="X175" s="40">
        <f t="shared" si="13"/>
        <v>0</v>
      </c>
    </row>
    <row r="176" spans="2:24" ht="31.5">
      <c r="B176" s="295"/>
      <c r="C176" s="295"/>
      <c r="D176" s="292"/>
      <c r="E176" s="267" t="s">
        <v>945</v>
      </c>
      <c r="F176" s="45"/>
      <c r="G176" s="46"/>
      <c r="H176" s="216"/>
      <c r="I176" s="249"/>
      <c r="J176" s="15">
        <f>J177</f>
        <v>5049</v>
      </c>
      <c r="K176" s="49"/>
      <c r="L176" s="15">
        <f>L177</f>
        <v>5049</v>
      </c>
      <c r="M176" s="49"/>
      <c r="N176" s="49"/>
      <c r="O176" s="49"/>
      <c r="P176" s="49"/>
      <c r="Q176" s="49"/>
      <c r="R176" s="49"/>
      <c r="S176" s="49"/>
      <c r="T176" s="49"/>
      <c r="U176" s="49"/>
      <c r="V176" s="49"/>
      <c r="W176" s="49">
        <f>W177</f>
        <v>5049</v>
      </c>
      <c r="X176" s="40">
        <f t="shared" si="13"/>
        <v>0</v>
      </c>
    </row>
    <row r="177" spans="2:24" ht="47.25">
      <c r="B177" s="295"/>
      <c r="C177" s="295"/>
      <c r="D177" s="292"/>
      <c r="E177" s="272" t="s">
        <v>252</v>
      </c>
      <c r="F177" s="45"/>
      <c r="G177" s="46"/>
      <c r="H177" s="216"/>
      <c r="I177" s="249">
        <v>3132</v>
      </c>
      <c r="J177" s="9">
        <f>18932.34-13883.34</f>
        <v>5049</v>
      </c>
      <c r="K177" s="49"/>
      <c r="L177" s="9">
        <f>18932.34-13883.34</f>
        <v>5049</v>
      </c>
      <c r="M177" s="49"/>
      <c r="N177" s="49"/>
      <c r="O177" s="49"/>
      <c r="P177" s="49"/>
      <c r="Q177" s="49"/>
      <c r="R177" s="49"/>
      <c r="S177" s="49"/>
      <c r="T177" s="49"/>
      <c r="U177" s="49"/>
      <c r="V177" s="49"/>
      <c r="W177" s="49">
        <v>5049</v>
      </c>
      <c r="X177" s="40">
        <f t="shared" si="13"/>
        <v>0</v>
      </c>
    </row>
    <row r="178" spans="2:24" ht="78.75">
      <c r="B178" s="295"/>
      <c r="C178" s="295"/>
      <c r="D178" s="292"/>
      <c r="E178" s="266" t="s">
        <v>262</v>
      </c>
      <c r="F178" s="45"/>
      <c r="G178" s="46"/>
      <c r="H178" s="216"/>
      <c r="I178" s="249">
        <v>3132</v>
      </c>
      <c r="J178" s="9">
        <v>933</v>
      </c>
      <c r="K178" s="49"/>
      <c r="L178" s="9">
        <v>933</v>
      </c>
      <c r="M178" s="49"/>
      <c r="N178" s="49"/>
      <c r="O178" s="49"/>
      <c r="P178" s="49"/>
      <c r="Q178" s="49"/>
      <c r="R178" s="49"/>
      <c r="S178" s="49"/>
      <c r="T178" s="49"/>
      <c r="U178" s="49"/>
      <c r="V178" s="49"/>
      <c r="W178" s="49">
        <v>933</v>
      </c>
      <c r="X178" s="40">
        <f t="shared" si="13"/>
        <v>0</v>
      </c>
    </row>
    <row r="179" spans="2:24" ht="31.5">
      <c r="B179" s="295"/>
      <c r="C179" s="295"/>
      <c r="D179" s="292"/>
      <c r="E179" s="271" t="s">
        <v>263</v>
      </c>
      <c r="F179" s="45"/>
      <c r="G179" s="46"/>
      <c r="H179" s="216"/>
      <c r="I179" s="249"/>
      <c r="J179" s="15">
        <f>SUM(J180:J183)</f>
        <v>397922.8</v>
      </c>
      <c r="K179" s="49"/>
      <c r="L179" s="15">
        <f>SUM(L180:L183)</f>
        <v>397922.8</v>
      </c>
      <c r="M179" s="49"/>
      <c r="N179" s="49"/>
      <c r="O179" s="49"/>
      <c r="P179" s="49"/>
      <c r="Q179" s="49"/>
      <c r="R179" s="49"/>
      <c r="S179" s="49"/>
      <c r="T179" s="49"/>
      <c r="U179" s="49"/>
      <c r="V179" s="49"/>
      <c r="W179" s="49">
        <f>W180+W181+W182+W183</f>
        <v>397922.8</v>
      </c>
      <c r="X179" s="40">
        <f t="shared" si="13"/>
        <v>0</v>
      </c>
    </row>
    <row r="180" spans="2:24" ht="47.25">
      <c r="B180" s="295"/>
      <c r="C180" s="295"/>
      <c r="D180" s="292"/>
      <c r="E180" s="272" t="s">
        <v>947</v>
      </c>
      <c r="F180" s="45"/>
      <c r="G180" s="46"/>
      <c r="H180" s="216"/>
      <c r="I180" s="249">
        <v>3132</v>
      </c>
      <c r="J180" s="9">
        <v>265677.4</v>
      </c>
      <c r="K180" s="49"/>
      <c r="L180" s="9">
        <v>265677.4</v>
      </c>
      <c r="M180" s="49"/>
      <c r="N180" s="49"/>
      <c r="O180" s="49"/>
      <c r="P180" s="49"/>
      <c r="Q180" s="49"/>
      <c r="R180" s="49"/>
      <c r="S180" s="49"/>
      <c r="T180" s="49"/>
      <c r="U180" s="49"/>
      <c r="V180" s="49"/>
      <c r="W180" s="49">
        <v>265677.4</v>
      </c>
      <c r="X180" s="40">
        <f t="shared" si="13"/>
        <v>0</v>
      </c>
    </row>
    <row r="181" spans="2:24" ht="47.25">
      <c r="B181" s="295"/>
      <c r="C181" s="295"/>
      <c r="D181" s="292"/>
      <c r="E181" s="272" t="s">
        <v>855</v>
      </c>
      <c r="F181" s="45"/>
      <c r="G181" s="46"/>
      <c r="H181" s="216"/>
      <c r="I181" s="249">
        <v>3132</v>
      </c>
      <c r="J181" s="9">
        <v>108031.6</v>
      </c>
      <c r="K181" s="49"/>
      <c r="L181" s="9">
        <v>108031.6</v>
      </c>
      <c r="M181" s="49"/>
      <c r="N181" s="49"/>
      <c r="O181" s="49"/>
      <c r="P181" s="49"/>
      <c r="Q181" s="49"/>
      <c r="R181" s="49"/>
      <c r="S181" s="49"/>
      <c r="T181" s="49"/>
      <c r="U181" s="49"/>
      <c r="V181" s="49"/>
      <c r="W181" s="49">
        <v>108031.6</v>
      </c>
      <c r="X181" s="40">
        <f t="shared" si="13"/>
        <v>0</v>
      </c>
    </row>
    <row r="182" spans="2:24" ht="47.25">
      <c r="B182" s="295"/>
      <c r="C182" s="295"/>
      <c r="D182" s="292"/>
      <c r="E182" s="272" t="s">
        <v>856</v>
      </c>
      <c r="F182" s="45"/>
      <c r="G182" s="46"/>
      <c r="H182" s="216"/>
      <c r="I182" s="249">
        <v>3132</v>
      </c>
      <c r="J182" s="9">
        <v>2490</v>
      </c>
      <c r="K182" s="49"/>
      <c r="L182" s="9">
        <v>2490</v>
      </c>
      <c r="M182" s="49"/>
      <c r="N182" s="49"/>
      <c r="O182" s="49"/>
      <c r="P182" s="49"/>
      <c r="Q182" s="49"/>
      <c r="R182" s="49"/>
      <c r="S182" s="49"/>
      <c r="T182" s="49"/>
      <c r="U182" s="49"/>
      <c r="V182" s="49"/>
      <c r="W182" s="49">
        <v>2490</v>
      </c>
      <c r="X182" s="40">
        <f t="shared" si="13"/>
        <v>0</v>
      </c>
    </row>
    <row r="183" spans="2:24" ht="31.5">
      <c r="B183" s="295"/>
      <c r="C183" s="295"/>
      <c r="D183" s="292"/>
      <c r="E183" s="272" t="s">
        <v>857</v>
      </c>
      <c r="F183" s="45"/>
      <c r="G183" s="46"/>
      <c r="H183" s="216"/>
      <c r="I183" s="249">
        <v>3132</v>
      </c>
      <c r="J183" s="9">
        <v>21723.8</v>
      </c>
      <c r="K183" s="49"/>
      <c r="L183" s="9">
        <v>21723.8</v>
      </c>
      <c r="M183" s="49"/>
      <c r="N183" s="49"/>
      <c r="O183" s="49"/>
      <c r="P183" s="49"/>
      <c r="Q183" s="49"/>
      <c r="R183" s="49"/>
      <c r="S183" s="49"/>
      <c r="T183" s="49"/>
      <c r="U183" s="49"/>
      <c r="V183" s="49"/>
      <c r="W183" s="49">
        <v>21723.8</v>
      </c>
      <c r="X183" s="40">
        <f t="shared" si="13"/>
        <v>0</v>
      </c>
    </row>
    <row r="184" spans="2:24" ht="63">
      <c r="B184" s="295"/>
      <c r="C184" s="295"/>
      <c r="D184" s="292"/>
      <c r="E184" s="267" t="s">
        <v>443</v>
      </c>
      <c r="F184" s="45"/>
      <c r="G184" s="46"/>
      <c r="H184" s="216"/>
      <c r="I184" s="249">
        <v>3110</v>
      </c>
      <c r="J184" s="9">
        <v>7000</v>
      </c>
      <c r="K184" s="49"/>
      <c r="L184" s="9">
        <v>7000</v>
      </c>
      <c r="M184" s="49"/>
      <c r="N184" s="49"/>
      <c r="O184" s="49"/>
      <c r="P184" s="49"/>
      <c r="Q184" s="49"/>
      <c r="R184" s="49"/>
      <c r="S184" s="49"/>
      <c r="T184" s="49"/>
      <c r="U184" s="49"/>
      <c r="V184" s="49"/>
      <c r="W184" s="49">
        <v>7000</v>
      </c>
      <c r="X184" s="40">
        <f t="shared" si="13"/>
        <v>0</v>
      </c>
    </row>
    <row r="185" spans="2:24" ht="94.5">
      <c r="B185" s="295"/>
      <c r="C185" s="295"/>
      <c r="D185" s="292"/>
      <c r="E185" s="47" t="s">
        <v>368</v>
      </c>
      <c r="F185" s="45"/>
      <c r="G185" s="46"/>
      <c r="H185" s="216"/>
      <c r="I185" s="249">
        <v>3110</v>
      </c>
      <c r="J185" s="9">
        <v>8000</v>
      </c>
      <c r="K185" s="49"/>
      <c r="L185" s="49"/>
      <c r="M185" s="49"/>
      <c r="N185" s="49">
        <v>8000</v>
      </c>
      <c r="O185" s="49"/>
      <c r="P185" s="49"/>
      <c r="Q185" s="49"/>
      <c r="R185" s="49"/>
      <c r="S185" s="49"/>
      <c r="T185" s="49"/>
      <c r="U185" s="49"/>
      <c r="V185" s="49"/>
      <c r="W185" s="49"/>
      <c r="X185" s="40">
        <f t="shared" si="13"/>
        <v>8000</v>
      </c>
    </row>
    <row r="186" spans="2:24" ht="78.75">
      <c r="B186" s="295"/>
      <c r="C186" s="295"/>
      <c r="D186" s="292"/>
      <c r="E186" s="47" t="s">
        <v>294</v>
      </c>
      <c r="F186" s="45"/>
      <c r="G186" s="46"/>
      <c r="H186" s="216"/>
      <c r="I186" s="249">
        <v>3132</v>
      </c>
      <c r="J186" s="9">
        <v>136000</v>
      </c>
      <c r="K186" s="49"/>
      <c r="L186" s="49"/>
      <c r="M186" s="49"/>
      <c r="N186" s="49">
        <v>13600</v>
      </c>
      <c r="O186" s="49">
        <v>36800</v>
      </c>
      <c r="P186" s="49">
        <v>85600</v>
      </c>
      <c r="Q186" s="49"/>
      <c r="R186" s="49"/>
      <c r="S186" s="49"/>
      <c r="T186" s="49"/>
      <c r="U186" s="49"/>
      <c r="V186" s="49"/>
      <c r="W186" s="49">
        <f>2371.2+5532.8+107705.3+14293</f>
        <v>129902.3</v>
      </c>
      <c r="X186" s="40">
        <f t="shared" si="13"/>
        <v>6097.699999999997</v>
      </c>
    </row>
    <row r="187" spans="2:24" ht="63">
      <c r="B187" s="295"/>
      <c r="C187" s="295"/>
      <c r="D187" s="292"/>
      <c r="E187" s="47" t="s">
        <v>431</v>
      </c>
      <c r="F187" s="45"/>
      <c r="G187" s="46"/>
      <c r="H187" s="216"/>
      <c r="I187" s="249">
        <v>3110</v>
      </c>
      <c r="J187" s="9">
        <v>179200</v>
      </c>
      <c r="K187" s="49"/>
      <c r="L187" s="49"/>
      <c r="M187" s="49"/>
      <c r="N187" s="49"/>
      <c r="O187" s="49"/>
      <c r="P187" s="49"/>
      <c r="Q187" s="49"/>
      <c r="R187" s="49"/>
      <c r="S187" s="49"/>
      <c r="T187" s="49">
        <v>179200</v>
      </c>
      <c r="U187" s="49"/>
      <c r="V187" s="49"/>
      <c r="W187" s="49"/>
      <c r="X187" s="40">
        <f t="shared" si="13"/>
        <v>179200</v>
      </c>
    </row>
    <row r="188" spans="2:24" ht="47.25">
      <c r="B188" s="295"/>
      <c r="C188" s="295"/>
      <c r="D188" s="292"/>
      <c r="E188" s="31" t="s">
        <v>652</v>
      </c>
      <c r="F188" s="21">
        <v>450000</v>
      </c>
      <c r="G188" s="18">
        <f>100%-((F188-H188)/F188)</f>
        <v>1</v>
      </c>
      <c r="H188" s="217">
        <v>450000</v>
      </c>
      <c r="I188" s="249">
        <v>3132</v>
      </c>
      <c r="J188" s="21">
        <v>100000</v>
      </c>
      <c r="K188" s="49"/>
      <c r="L188" s="49"/>
      <c r="M188" s="49"/>
      <c r="N188" s="49"/>
      <c r="O188" s="202">
        <v>29718.38</v>
      </c>
      <c r="P188" s="200"/>
      <c r="Q188" s="200">
        <v>70281.62</v>
      </c>
      <c r="R188" s="200"/>
      <c r="S188" s="200"/>
      <c r="T188" s="200"/>
      <c r="U188" s="200"/>
      <c r="V188" s="200"/>
      <c r="W188" s="49">
        <f>3000</f>
        <v>3000</v>
      </c>
      <c r="X188" s="40">
        <f t="shared" si="13"/>
        <v>97000</v>
      </c>
    </row>
    <row r="189" spans="2:24" ht="47.25">
      <c r="B189" s="295"/>
      <c r="C189" s="295"/>
      <c r="D189" s="292"/>
      <c r="E189" s="31" t="s">
        <v>653</v>
      </c>
      <c r="F189" s="21">
        <v>720000</v>
      </c>
      <c r="G189" s="18">
        <f>100%-((F189-H189)/F189)</f>
        <v>0.9305555555555556</v>
      </c>
      <c r="H189" s="217">
        <v>670000</v>
      </c>
      <c r="I189" s="249">
        <v>3132</v>
      </c>
      <c r="J189" s="21">
        <f>670000+198100</f>
        <v>868100</v>
      </c>
      <c r="K189" s="200"/>
      <c r="L189" s="200"/>
      <c r="M189" s="200"/>
      <c r="N189" s="200"/>
      <c r="O189" s="200">
        <v>10000</v>
      </c>
      <c r="P189" s="200"/>
      <c r="Q189" s="200">
        <v>430000</v>
      </c>
      <c r="R189" s="200">
        <v>230000</v>
      </c>
      <c r="S189" s="200">
        <v>198100</v>
      </c>
      <c r="T189" s="200"/>
      <c r="U189" s="200"/>
      <c r="V189" s="200"/>
      <c r="W189" s="49">
        <f>1083.6+393728.4+255510+9979</f>
        <v>660301</v>
      </c>
      <c r="X189" s="40">
        <f t="shared" si="13"/>
        <v>207799</v>
      </c>
    </row>
    <row r="190" spans="2:24" ht="47.25">
      <c r="B190" s="295"/>
      <c r="C190" s="295"/>
      <c r="D190" s="292"/>
      <c r="E190" s="73" t="s">
        <v>654</v>
      </c>
      <c r="F190" s="49">
        <v>1096000</v>
      </c>
      <c r="G190" s="18">
        <f>100%-((F190-H190)/F190)</f>
        <v>0.6231751824817517</v>
      </c>
      <c r="H190" s="217">
        <v>683000</v>
      </c>
      <c r="I190" s="249">
        <v>3132</v>
      </c>
      <c r="J190" s="21">
        <v>683000</v>
      </c>
      <c r="K190" s="200"/>
      <c r="L190" s="200"/>
      <c r="M190" s="200"/>
      <c r="N190" s="200"/>
      <c r="O190" s="200">
        <v>10000</v>
      </c>
      <c r="P190" s="200"/>
      <c r="Q190" s="200">
        <f>200000+300000</f>
        <v>500000</v>
      </c>
      <c r="R190" s="200">
        <f>473000-300000</f>
        <v>173000</v>
      </c>
      <c r="S190" s="200"/>
      <c r="T190" s="200"/>
      <c r="U190" s="200"/>
      <c r="V190" s="200"/>
      <c r="W190" s="49">
        <f>200000+258316.6+59952.6+136468.8+15622</f>
        <v>670360</v>
      </c>
      <c r="X190" s="40">
        <f t="shared" si="13"/>
        <v>12640</v>
      </c>
    </row>
    <row r="191" spans="2:24" ht="47.25" hidden="1">
      <c r="B191" s="295"/>
      <c r="C191" s="295"/>
      <c r="D191" s="292"/>
      <c r="E191" s="74" t="s">
        <v>655</v>
      </c>
      <c r="F191" s="49">
        <v>449274</v>
      </c>
      <c r="G191" s="18">
        <f>100%-((F191-H191)/F191)</f>
        <v>0.8903252803411726</v>
      </c>
      <c r="H191" s="217">
        <v>400000</v>
      </c>
      <c r="I191" s="249">
        <v>3132</v>
      </c>
      <c r="J191" s="21">
        <f>400000-400000</f>
        <v>0</v>
      </c>
      <c r="K191" s="200"/>
      <c r="L191" s="200"/>
      <c r="M191" s="200"/>
      <c r="N191" s="200"/>
      <c r="O191" s="200">
        <v>10000</v>
      </c>
      <c r="P191" s="200"/>
      <c r="Q191" s="200">
        <v>250000</v>
      </c>
      <c r="R191" s="200">
        <v>140000</v>
      </c>
      <c r="S191" s="200">
        <v>-400000</v>
      </c>
      <c r="T191" s="200"/>
      <c r="U191" s="200"/>
      <c r="V191" s="200"/>
      <c r="W191" s="49"/>
      <c r="X191" s="40">
        <f t="shared" si="13"/>
        <v>0</v>
      </c>
    </row>
    <row r="192" spans="2:24" ht="47.25">
      <c r="B192" s="295"/>
      <c r="C192" s="295"/>
      <c r="D192" s="292"/>
      <c r="E192" s="67" t="s">
        <v>862</v>
      </c>
      <c r="F192" s="49">
        <v>421000</v>
      </c>
      <c r="G192" s="18">
        <f>100%-((F192-H192)/F192)</f>
        <v>1</v>
      </c>
      <c r="H192" s="217">
        <v>421000</v>
      </c>
      <c r="I192" s="249">
        <v>3132</v>
      </c>
      <c r="J192" s="21">
        <v>421000</v>
      </c>
      <c r="K192" s="200"/>
      <c r="L192" s="200"/>
      <c r="M192" s="200"/>
      <c r="N192" s="200"/>
      <c r="O192" s="200">
        <v>10000</v>
      </c>
      <c r="P192" s="200">
        <v>200000</v>
      </c>
      <c r="Q192" s="200">
        <f>347776.96-200000</f>
        <v>147776.96000000002</v>
      </c>
      <c r="R192" s="200">
        <v>63223.04</v>
      </c>
      <c r="S192" s="200"/>
      <c r="T192" s="200"/>
      <c r="U192" s="200"/>
      <c r="V192" s="200"/>
      <c r="W192" s="49">
        <f>107466.9+46.1</f>
        <v>107513</v>
      </c>
      <c r="X192" s="40">
        <f t="shared" si="13"/>
        <v>313487</v>
      </c>
    </row>
    <row r="193" spans="2:24" ht="47.25">
      <c r="B193" s="295"/>
      <c r="C193" s="295"/>
      <c r="D193" s="292"/>
      <c r="E193" s="67" t="s">
        <v>14</v>
      </c>
      <c r="F193" s="49"/>
      <c r="G193" s="18"/>
      <c r="H193" s="217"/>
      <c r="I193" s="249">
        <v>3132</v>
      </c>
      <c r="J193" s="21">
        <f>200000-26000</f>
        <v>174000</v>
      </c>
      <c r="K193" s="200"/>
      <c r="L193" s="200"/>
      <c r="M193" s="200"/>
      <c r="N193" s="200"/>
      <c r="O193" s="200">
        <v>10000</v>
      </c>
      <c r="P193" s="200"/>
      <c r="Q193" s="200">
        <v>190000</v>
      </c>
      <c r="R193" s="200"/>
      <c r="S193" s="200"/>
      <c r="T193" s="200">
        <v>-26000</v>
      </c>
      <c r="U193" s="200"/>
      <c r="V193" s="200"/>
      <c r="W193" s="49">
        <f>1320+73171.2+1320</f>
        <v>75811.2</v>
      </c>
      <c r="X193" s="40">
        <f t="shared" si="13"/>
        <v>98188.8</v>
      </c>
    </row>
    <row r="194" spans="2:24" ht="47.25">
      <c r="B194" s="295"/>
      <c r="C194" s="295"/>
      <c r="D194" s="292"/>
      <c r="E194" s="67" t="s">
        <v>704</v>
      </c>
      <c r="F194" s="49"/>
      <c r="G194" s="18"/>
      <c r="H194" s="217"/>
      <c r="I194" s="249">
        <v>3132</v>
      </c>
      <c r="J194" s="21">
        <v>450000</v>
      </c>
      <c r="K194" s="200"/>
      <c r="L194" s="200"/>
      <c r="M194" s="200"/>
      <c r="N194" s="200"/>
      <c r="O194" s="200">
        <v>10000</v>
      </c>
      <c r="P194" s="200"/>
      <c r="Q194" s="200">
        <f>440000-300000</f>
        <v>140000</v>
      </c>
      <c r="R194" s="200">
        <f>-64000</f>
        <v>-64000</v>
      </c>
      <c r="S194" s="200">
        <f>300000-80000-160000</f>
        <v>60000</v>
      </c>
      <c r="T194" s="200">
        <f>50000+160000-71000-11000-3000</f>
        <v>125000</v>
      </c>
      <c r="U194" s="200">
        <f>14000+56000+8000</f>
        <v>78000</v>
      </c>
      <c r="V194" s="200">
        <f>24000+71000+3000+3000</f>
        <v>101000</v>
      </c>
      <c r="W194" s="49"/>
      <c r="X194" s="40">
        <f t="shared" si="13"/>
        <v>271000</v>
      </c>
    </row>
    <row r="195" spans="2:24" ht="47.25" hidden="1">
      <c r="B195" s="295"/>
      <c r="C195" s="295"/>
      <c r="D195" s="292"/>
      <c r="E195" s="67" t="s">
        <v>705</v>
      </c>
      <c r="F195" s="49"/>
      <c r="G195" s="18"/>
      <c r="H195" s="217"/>
      <c r="I195" s="249">
        <v>3132</v>
      </c>
      <c r="J195" s="21">
        <f>100000-100000</f>
        <v>0</v>
      </c>
      <c r="K195" s="200"/>
      <c r="L195" s="200"/>
      <c r="M195" s="200"/>
      <c r="N195" s="200"/>
      <c r="O195" s="200"/>
      <c r="P195" s="200"/>
      <c r="Q195" s="200">
        <v>100000</v>
      </c>
      <c r="R195" s="200"/>
      <c r="S195" s="200"/>
      <c r="T195" s="200">
        <v>-100000</v>
      </c>
      <c r="U195" s="200"/>
      <c r="V195" s="200"/>
      <c r="W195" s="49"/>
      <c r="X195" s="40">
        <f t="shared" si="13"/>
        <v>0</v>
      </c>
    </row>
    <row r="196" spans="2:24" ht="63">
      <c r="B196" s="295"/>
      <c r="C196" s="295"/>
      <c r="D196" s="292"/>
      <c r="E196" s="67" t="s">
        <v>706</v>
      </c>
      <c r="F196" s="49"/>
      <c r="G196" s="18"/>
      <c r="H196" s="217"/>
      <c r="I196" s="249">
        <v>3132</v>
      </c>
      <c r="J196" s="21">
        <f>200000+251000</f>
        <v>451000</v>
      </c>
      <c r="K196" s="200"/>
      <c r="L196" s="200"/>
      <c r="M196" s="200"/>
      <c r="N196" s="200"/>
      <c r="O196" s="200"/>
      <c r="P196" s="200"/>
      <c r="Q196" s="200">
        <v>181000</v>
      </c>
      <c r="R196" s="200"/>
      <c r="S196" s="200">
        <v>251000</v>
      </c>
      <c r="T196" s="200"/>
      <c r="U196" s="200">
        <v>19000</v>
      </c>
      <c r="V196" s="200"/>
      <c r="W196" s="49">
        <v>24232</v>
      </c>
      <c r="X196" s="40">
        <f t="shared" si="13"/>
        <v>407768</v>
      </c>
    </row>
    <row r="197" spans="2:24" ht="47.25">
      <c r="B197" s="295"/>
      <c r="C197" s="295"/>
      <c r="D197" s="292"/>
      <c r="E197" s="67" t="s">
        <v>863</v>
      </c>
      <c r="F197" s="49"/>
      <c r="G197" s="18"/>
      <c r="H197" s="217"/>
      <c r="I197" s="249">
        <v>3132</v>
      </c>
      <c r="J197" s="21">
        <f>130000+17000</f>
        <v>147000</v>
      </c>
      <c r="K197" s="200"/>
      <c r="L197" s="200"/>
      <c r="M197" s="200"/>
      <c r="N197" s="200"/>
      <c r="O197" s="200"/>
      <c r="P197" s="200"/>
      <c r="Q197" s="200">
        <v>130000</v>
      </c>
      <c r="R197" s="200"/>
      <c r="S197" s="200">
        <v>17000</v>
      </c>
      <c r="T197" s="200">
        <v>-32300</v>
      </c>
      <c r="U197" s="200">
        <v>32300</v>
      </c>
      <c r="V197" s="200"/>
      <c r="W197" s="49">
        <v>64690.2</v>
      </c>
      <c r="X197" s="40">
        <f t="shared" si="13"/>
        <v>50009.8</v>
      </c>
    </row>
    <row r="198" spans="2:24" ht="63">
      <c r="B198" s="295"/>
      <c r="C198" s="295"/>
      <c r="D198" s="292"/>
      <c r="E198" s="67" t="s">
        <v>371</v>
      </c>
      <c r="F198" s="49"/>
      <c r="G198" s="18"/>
      <c r="H198" s="217"/>
      <c r="I198" s="249">
        <v>3132</v>
      </c>
      <c r="J198" s="21">
        <v>145000</v>
      </c>
      <c r="K198" s="200"/>
      <c r="L198" s="200"/>
      <c r="M198" s="200"/>
      <c r="N198" s="200"/>
      <c r="O198" s="200"/>
      <c r="P198" s="200"/>
      <c r="Q198" s="200">
        <v>145000</v>
      </c>
      <c r="R198" s="200"/>
      <c r="S198" s="200"/>
      <c r="T198" s="200"/>
      <c r="U198" s="200"/>
      <c r="V198" s="200"/>
      <c r="W198" s="49"/>
      <c r="X198" s="40">
        <f t="shared" si="13"/>
        <v>145000</v>
      </c>
    </row>
    <row r="199" spans="2:24" ht="47.25">
      <c r="B199" s="295"/>
      <c r="C199" s="295"/>
      <c r="D199" s="292"/>
      <c r="E199" s="67" t="s">
        <v>372</v>
      </c>
      <c r="F199" s="49"/>
      <c r="G199" s="18"/>
      <c r="H199" s="217"/>
      <c r="I199" s="249">
        <v>3132</v>
      </c>
      <c r="J199" s="21">
        <v>187000</v>
      </c>
      <c r="K199" s="200"/>
      <c r="L199" s="200"/>
      <c r="M199" s="200"/>
      <c r="N199" s="200"/>
      <c r="O199" s="200"/>
      <c r="P199" s="200"/>
      <c r="Q199" s="200">
        <v>187000</v>
      </c>
      <c r="R199" s="200"/>
      <c r="S199" s="200"/>
      <c r="T199" s="200"/>
      <c r="U199" s="200"/>
      <c r="V199" s="200"/>
      <c r="W199" s="49">
        <f>1164.85+1320+9820.15</f>
        <v>12305</v>
      </c>
      <c r="X199" s="40">
        <f t="shared" si="13"/>
        <v>174695</v>
      </c>
    </row>
    <row r="200" spans="2:24" ht="31.5">
      <c r="B200" s="295"/>
      <c r="C200" s="295"/>
      <c r="D200" s="292"/>
      <c r="E200" s="67" t="s">
        <v>373</v>
      </c>
      <c r="F200" s="49"/>
      <c r="G200" s="18"/>
      <c r="H200" s="217"/>
      <c r="I200" s="249">
        <v>3132</v>
      </c>
      <c r="J200" s="21">
        <f>80000+38000</f>
        <v>118000</v>
      </c>
      <c r="K200" s="200"/>
      <c r="L200" s="200"/>
      <c r="M200" s="200"/>
      <c r="N200" s="200"/>
      <c r="O200" s="200"/>
      <c r="P200" s="200"/>
      <c r="Q200" s="200">
        <v>80000</v>
      </c>
      <c r="R200" s="200"/>
      <c r="S200" s="200"/>
      <c r="T200" s="200">
        <v>38000</v>
      </c>
      <c r="U200" s="200"/>
      <c r="V200" s="200"/>
      <c r="W200" s="49">
        <f>64072.74+1390+51465.9</f>
        <v>116928.64</v>
      </c>
      <c r="X200" s="40">
        <f t="shared" si="13"/>
        <v>1071.3600000000006</v>
      </c>
    </row>
    <row r="201" spans="2:24" ht="47.25">
      <c r="B201" s="295"/>
      <c r="C201" s="295"/>
      <c r="D201" s="292"/>
      <c r="E201" s="67" t="s">
        <v>374</v>
      </c>
      <c r="F201" s="49"/>
      <c r="G201" s="18"/>
      <c r="H201" s="217"/>
      <c r="I201" s="249">
        <v>3132</v>
      </c>
      <c r="J201" s="21">
        <v>150000</v>
      </c>
      <c r="K201" s="200"/>
      <c r="L201" s="200"/>
      <c r="M201" s="200"/>
      <c r="N201" s="200"/>
      <c r="O201" s="200"/>
      <c r="P201" s="200"/>
      <c r="Q201" s="200">
        <v>150000</v>
      </c>
      <c r="R201" s="200"/>
      <c r="S201" s="200"/>
      <c r="T201" s="200"/>
      <c r="U201" s="200"/>
      <c r="V201" s="200"/>
      <c r="W201" s="49"/>
      <c r="X201" s="40">
        <f t="shared" si="13"/>
        <v>150000</v>
      </c>
    </row>
    <row r="202" spans="2:24" ht="31.5">
      <c r="B202" s="295"/>
      <c r="C202" s="295"/>
      <c r="D202" s="292"/>
      <c r="E202" s="67" t="s">
        <v>375</v>
      </c>
      <c r="F202" s="49"/>
      <c r="G202" s="18"/>
      <c r="H202" s="217"/>
      <c r="I202" s="249">
        <v>3132</v>
      </c>
      <c r="J202" s="21">
        <v>80000</v>
      </c>
      <c r="K202" s="200"/>
      <c r="L202" s="200"/>
      <c r="M202" s="200"/>
      <c r="N202" s="200"/>
      <c r="O202" s="200"/>
      <c r="P202" s="200"/>
      <c r="Q202" s="200">
        <v>80000</v>
      </c>
      <c r="R202" s="200"/>
      <c r="S202" s="200"/>
      <c r="T202" s="200"/>
      <c r="U202" s="200"/>
      <c r="V202" s="200"/>
      <c r="W202" s="49">
        <f>23240.1+54226.9+1307.28</f>
        <v>78774.28</v>
      </c>
      <c r="X202" s="40">
        <f t="shared" si="13"/>
        <v>1225.7200000000012</v>
      </c>
    </row>
    <row r="203" spans="2:24" ht="31.5">
      <c r="B203" s="295"/>
      <c r="C203" s="295"/>
      <c r="D203" s="292"/>
      <c r="E203" s="67" t="s">
        <v>376</v>
      </c>
      <c r="F203" s="49"/>
      <c r="G203" s="18"/>
      <c r="H203" s="217"/>
      <c r="I203" s="249">
        <v>3132</v>
      </c>
      <c r="J203" s="21">
        <f>400000+70000+498000</f>
        <v>968000</v>
      </c>
      <c r="K203" s="200"/>
      <c r="L203" s="200"/>
      <c r="M203" s="200"/>
      <c r="N203" s="200"/>
      <c r="O203" s="200"/>
      <c r="P203" s="200">
        <v>5000</v>
      </c>
      <c r="Q203" s="200">
        <f>272500-5000+37000+5550</f>
        <v>310050</v>
      </c>
      <c r="R203" s="200">
        <f>4550</f>
        <v>4550</v>
      </c>
      <c r="S203" s="200">
        <f>80000+70000+498000</f>
        <v>648000</v>
      </c>
      <c r="T203" s="200"/>
      <c r="U203" s="200">
        <f>103500-37000-5550-4550-56000</f>
        <v>400</v>
      </c>
      <c r="V203" s="200">
        <f>24000-24000</f>
        <v>0</v>
      </c>
      <c r="W203" s="49">
        <f>3438+6112+310014+48990+162192.72</f>
        <v>530746.72</v>
      </c>
      <c r="X203" s="40">
        <f t="shared" si="13"/>
        <v>436853.28</v>
      </c>
    </row>
    <row r="204" spans="2:24" ht="15.75">
      <c r="B204" s="295"/>
      <c r="C204" s="295"/>
      <c r="D204" s="292"/>
      <c r="E204" s="67" t="s">
        <v>377</v>
      </c>
      <c r="F204" s="49"/>
      <c r="G204" s="18"/>
      <c r="H204" s="217"/>
      <c r="I204" s="249">
        <v>3110</v>
      </c>
      <c r="J204" s="21">
        <v>1250000</v>
      </c>
      <c r="K204" s="200"/>
      <c r="L204" s="200"/>
      <c r="M204" s="200"/>
      <c r="N204" s="200"/>
      <c r="O204" s="200"/>
      <c r="P204" s="200"/>
      <c r="Q204" s="200">
        <v>750000</v>
      </c>
      <c r="R204" s="200"/>
      <c r="S204" s="200"/>
      <c r="T204" s="200"/>
      <c r="U204" s="200"/>
      <c r="V204" s="200">
        <v>500000</v>
      </c>
      <c r="W204" s="49"/>
      <c r="X204" s="40">
        <f t="shared" si="13"/>
        <v>750000</v>
      </c>
    </row>
    <row r="205" spans="2:24" ht="47.25">
      <c r="B205" s="295"/>
      <c r="C205" s="295"/>
      <c r="D205" s="292"/>
      <c r="E205" s="67" t="s">
        <v>290</v>
      </c>
      <c r="F205" s="49">
        <v>1010041</v>
      </c>
      <c r="G205" s="18">
        <f>100%-((F205-H205)/F205)</f>
        <v>0.6930411735761222</v>
      </c>
      <c r="H205" s="217">
        <v>700000</v>
      </c>
      <c r="I205" s="249">
        <v>3132</v>
      </c>
      <c r="J205" s="21">
        <v>700000</v>
      </c>
      <c r="K205" s="200"/>
      <c r="L205" s="200"/>
      <c r="M205" s="200"/>
      <c r="N205" s="200"/>
      <c r="O205" s="200"/>
      <c r="P205" s="200">
        <v>200000</v>
      </c>
      <c r="Q205" s="200">
        <f>700000-200000</f>
        <v>500000</v>
      </c>
      <c r="R205" s="200"/>
      <c r="S205" s="200"/>
      <c r="T205" s="200"/>
      <c r="U205" s="200"/>
      <c r="V205" s="200"/>
      <c r="W205" s="49">
        <v>184639</v>
      </c>
      <c r="X205" s="40">
        <f t="shared" si="13"/>
        <v>515361</v>
      </c>
    </row>
    <row r="206" spans="2:24" ht="47.25">
      <c r="B206" s="295"/>
      <c r="C206" s="295"/>
      <c r="D206" s="292"/>
      <c r="E206" s="67" t="s">
        <v>439</v>
      </c>
      <c r="F206" s="49">
        <v>744260</v>
      </c>
      <c r="G206" s="18">
        <f>100%-((F206-H206)/F206)</f>
        <v>0.537446591244995</v>
      </c>
      <c r="H206" s="220">
        <v>400000</v>
      </c>
      <c r="I206" s="249">
        <v>3132</v>
      </c>
      <c r="J206" s="21">
        <v>150000</v>
      </c>
      <c r="K206" s="200"/>
      <c r="L206" s="200"/>
      <c r="M206" s="200"/>
      <c r="N206" s="200"/>
      <c r="O206" s="200"/>
      <c r="P206" s="200"/>
      <c r="Q206" s="200">
        <v>150000</v>
      </c>
      <c r="R206" s="200"/>
      <c r="S206" s="200"/>
      <c r="T206" s="200"/>
      <c r="U206" s="200"/>
      <c r="V206" s="200"/>
      <c r="W206" s="49">
        <v>44100</v>
      </c>
      <c r="X206" s="40">
        <f t="shared" si="13"/>
        <v>105900</v>
      </c>
    </row>
    <row r="207" spans="2:24" ht="47.25">
      <c r="B207" s="295"/>
      <c r="C207" s="295"/>
      <c r="D207" s="292"/>
      <c r="E207" s="67" t="s">
        <v>440</v>
      </c>
      <c r="F207" s="49"/>
      <c r="G207" s="18"/>
      <c r="H207" s="220"/>
      <c r="I207" s="249">
        <v>3132</v>
      </c>
      <c r="J207" s="21">
        <f>250000+260000</f>
        <v>510000</v>
      </c>
      <c r="K207" s="200"/>
      <c r="L207" s="200"/>
      <c r="M207" s="200"/>
      <c r="N207" s="200"/>
      <c r="O207" s="200"/>
      <c r="P207" s="200"/>
      <c r="Q207" s="200">
        <v>85000</v>
      </c>
      <c r="R207" s="200">
        <f>260000</f>
        <v>260000</v>
      </c>
      <c r="S207" s="49">
        <f>260000-260000</f>
        <v>0</v>
      </c>
      <c r="T207" s="200">
        <f>119400+32300+8000</f>
        <v>159700</v>
      </c>
      <c r="U207" s="200">
        <f>45600-32300-8000</f>
        <v>5300</v>
      </c>
      <c r="V207" s="200"/>
      <c r="W207" s="49">
        <f>6305.14+245161+245161+7839.52</f>
        <v>504466.66000000003</v>
      </c>
      <c r="X207" s="40">
        <f t="shared" si="13"/>
        <v>233.3399999999674</v>
      </c>
    </row>
    <row r="208" spans="2:24" ht="47.25">
      <c r="B208" s="295"/>
      <c r="C208" s="295"/>
      <c r="D208" s="292"/>
      <c r="E208" s="67" t="s">
        <v>354</v>
      </c>
      <c r="F208" s="49">
        <v>116000</v>
      </c>
      <c r="G208" s="18">
        <f aca="true" t="shared" si="14" ref="G208:G216">100%-((F208-H208)/F208)</f>
        <v>1</v>
      </c>
      <c r="H208" s="220">
        <v>116000</v>
      </c>
      <c r="I208" s="249">
        <v>3132</v>
      </c>
      <c r="J208" s="21">
        <v>116000</v>
      </c>
      <c r="K208" s="200"/>
      <c r="L208" s="200"/>
      <c r="M208" s="200"/>
      <c r="N208" s="200"/>
      <c r="O208" s="200"/>
      <c r="P208" s="200"/>
      <c r="Q208" s="200">
        <v>116000</v>
      </c>
      <c r="R208" s="200"/>
      <c r="S208" s="200"/>
      <c r="T208" s="200"/>
      <c r="U208" s="200"/>
      <c r="V208" s="200"/>
      <c r="W208" s="49">
        <f>56920</f>
        <v>56920</v>
      </c>
      <c r="X208" s="40">
        <f t="shared" si="13"/>
        <v>59080</v>
      </c>
    </row>
    <row r="209" spans="2:24" ht="63">
      <c r="B209" s="295"/>
      <c r="C209" s="295"/>
      <c r="D209" s="292"/>
      <c r="E209" s="31" t="s">
        <v>441</v>
      </c>
      <c r="F209" s="49">
        <v>120000</v>
      </c>
      <c r="G209" s="18">
        <f t="shared" si="14"/>
        <v>1</v>
      </c>
      <c r="H209" s="220">
        <v>120000</v>
      </c>
      <c r="I209" s="249">
        <v>3132</v>
      </c>
      <c r="J209" s="21">
        <f>120000+121000</f>
        <v>241000</v>
      </c>
      <c r="K209" s="200"/>
      <c r="L209" s="200"/>
      <c r="M209" s="200"/>
      <c r="N209" s="200"/>
      <c r="O209" s="200"/>
      <c r="P209" s="200"/>
      <c r="Q209" s="200">
        <v>120000</v>
      </c>
      <c r="R209" s="200"/>
      <c r="S209" s="200">
        <v>121000</v>
      </c>
      <c r="T209" s="200"/>
      <c r="U209" s="200"/>
      <c r="V209" s="200"/>
      <c r="W209" s="49">
        <f>57615</f>
        <v>57615</v>
      </c>
      <c r="X209" s="40">
        <f t="shared" si="13"/>
        <v>183385</v>
      </c>
    </row>
    <row r="210" spans="2:24" ht="31.5">
      <c r="B210" s="295"/>
      <c r="C210" s="295"/>
      <c r="D210" s="292"/>
      <c r="E210" s="67" t="s">
        <v>442</v>
      </c>
      <c r="F210" s="49">
        <v>90000</v>
      </c>
      <c r="G210" s="18">
        <f t="shared" si="14"/>
        <v>1</v>
      </c>
      <c r="H210" s="220">
        <v>90000</v>
      </c>
      <c r="I210" s="249">
        <v>3132</v>
      </c>
      <c r="J210" s="21">
        <f>90000-40000</f>
        <v>50000</v>
      </c>
      <c r="K210" s="200"/>
      <c r="L210" s="200"/>
      <c r="M210" s="200"/>
      <c r="N210" s="200"/>
      <c r="O210" s="200"/>
      <c r="P210" s="200"/>
      <c r="Q210" s="200">
        <f>90000-37000-5550</f>
        <v>47450</v>
      </c>
      <c r="R210" s="200">
        <f>-4550</f>
        <v>-4550</v>
      </c>
      <c r="S210" s="200"/>
      <c r="T210" s="200"/>
      <c r="U210" s="200">
        <f>37000+5550+4550-40000</f>
        <v>7100</v>
      </c>
      <c r="V210" s="200"/>
      <c r="W210" s="49">
        <f>1606.8</f>
        <v>1606.8</v>
      </c>
      <c r="X210" s="40">
        <f t="shared" si="13"/>
        <v>41293.2</v>
      </c>
    </row>
    <row r="211" spans="2:24" ht="63">
      <c r="B211" s="295"/>
      <c r="C211" s="295"/>
      <c r="D211" s="292"/>
      <c r="E211" s="67" t="s">
        <v>383</v>
      </c>
      <c r="F211" s="49">
        <v>750000</v>
      </c>
      <c r="G211" s="18">
        <f t="shared" si="14"/>
        <v>0.9333333333333333</v>
      </c>
      <c r="H211" s="220">
        <v>700000</v>
      </c>
      <c r="I211" s="249">
        <v>3132</v>
      </c>
      <c r="J211" s="21">
        <f>700000-50000+396000</f>
        <v>1046000</v>
      </c>
      <c r="K211" s="200"/>
      <c r="L211" s="200"/>
      <c r="M211" s="200"/>
      <c r="N211" s="200"/>
      <c r="O211" s="200"/>
      <c r="P211" s="200"/>
      <c r="Q211" s="200">
        <f>700000-300000</f>
        <v>400000</v>
      </c>
      <c r="R211" s="200">
        <f>300000-200000-50000</f>
        <v>50000</v>
      </c>
      <c r="S211" s="200">
        <f>200000+50000-50000+396000</f>
        <v>596000</v>
      </c>
      <c r="T211" s="200"/>
      <c r="U211" s="200"/>
      <c r="V211" s="200"/>
      <c r="W211" s="49">
        <f>12700+338650+128000</f>
        <v>479350</v>
      </c>
      <c r="X211" s="40">
        <f t="shared" si="13"/>
        <v>566650</v>
      </c>
    </row>
    <row r="212" spans="2:24" ht="83.25" customHeight="1">
      <c r="B212" s="295"/>
      <c r="C212" s="295"/>
      <c r="D212" s="292"/>
      <c r="E212" s="67" t="s">
        <v>150</v>
      </c>
      <c r="F212" s="49">
        <v>3860390</v>
      </c>
      <c r="G212" s="18">
        <f t="shared" si="14"/>
        <v>0.8819989690160839</v>
      </c>
      <c r="H212" s="220">
        <v>3404860</v>
      </c>
      <c r="I212" s="249">
        <v>3132</v>
      </c>
      <c r="J212" s="21">
        <f>150000+254000</f>
        <v>404000</v>
      </c>
      <c r="K212" s="200"/>
      <c r="L212" s="200"/>
      <c r="M212" s="200"/>
      <c r="N212" s="200"/>
      <c r="O212" s="200"/>
      <c r="P212" s="200"/>
      <c r="Q212" s="200">
        <v>121300</v>
      </c>
      <c r="R212" s="200"/>
      <c r="S212" s="200">
        <v>254000</v>
      </c>
      <c r="T212" s="200">
        <v>28700</v>
      </c>
      <c r="U212" s="200"/>
      <c r="V212" s="200"/>
      <c r="W212" s="49">
        <v>1404</v>
      </c>
      <c r="X212" s="40">
        <f t="shared" si="13"/>
        <v>402596</v>
      </c>
    </row>
    <row r="213" spans="2:24" ht="47.25">
      <c r="B213" s="295"/>
      <c r="C213" s="295"/>
      <c r="D213" s="292"/>
      <c r="E213" s="65" t="s">
        <v>671</v>
      </c>
      <c r="F213" s="49">
        <v>858213</v>
      </c>
      <c r="G213" s="18">
        <f t="shared" si="14"/>
        <v>1</v>
      </c>
      <c r="H213" s="218">
        <v>858213</v>
      </c>
      <c r="I213" s="249">
        <v>3132</v>
      </c>
      <c r="J213" s="66">
        <v>1050000</v>
      </c>
      <c r="K213" s="200"/>
      <c r="L213" s="200"/>
      <c r="M213" s="200"/>
      <c r="N213" s="200"/>
      <c r="O213" s="200">
        <v>10000</v>
      </c>
      <c r="P213" s="200"/>
      <c r="Q213" s="200">
        <f>610000-100000-300000</f>
        <v>210000</v>
      </c>
      <c r="R213" s="200">
        <f>300000-260000</f>
        <v>40000</v>
      </c>
      <c r="S213" s="200">
        <f>100000+260000</f>
        <v>360000</v>
      </c>
      <c r="T213" s="200">
        <v>71000</v>
      </c>
      <c r="U213" s="200"/>
      <c r="V213" s="200">
        <f>430000-71000</f>
        <v>359000</v>
      </c>
      <c r="W213" s="49">
        <f>2556+6645.6+681520.56</f>
        <v>690722.16</v>
      </c>
      <c r="X213" s="40">
        <f t="shared" si="13"/>
        <v>277.8399999999674</v>
      </c>
    </row>
    <row r="214" spans="2:24" ht="31.5">
      <c r="B214" s="295"/>
      <c r="C214" s="295"/>
      <c r="D214" s="292"/>
      <c r="E214" s="65" t="s">
        <v>345</v>
      </c>
      <c r="F214" s="49">
        <v>216968</v>
      </c>
      <c r="G214" s="18">
        <f t="shared" si="14"/>
        <v>0.09217949190664065</v>
      </c>
      <c r="H214" s="218">
        <v>20000</v>
      </c>
      <c r="I214" s="249">
        <v>3132</v>
      </c>
      <c r="J214" s="66">
        <v>20000</v>
      </c>
      <c r="K214" s="200"/>
      <c r="L214" s="200"/>
      <c r="M214" s="200"/>
      <c r="N214" s="200"/>
      <c r="O214" s="200"/>
      <c r="P214" s="200"/>
      <c r="Q214" s="200">
        <v>20000</v>
      </c>
      <c r="R214" s="200"/>
      <c r="S214" s="200"/>
      <c r="T214" s="200"/>
      <c r="U214" s="200"/>
      <c r="V214" s="200"/>
      <c r="W214" s="49"/>
      <c r="X214" s="40">
        <f t="shared" si="13"/>
        <v>20000</v>
      </c>
    </row>
    <row r="215" spans="2:24" ht="47.25">
      <c r="B215" s="295"/>
      <c r="C215" s="295"/>
      <c r="D215" s="292"/>
      <c r="E215" s="67" t="s">
        <v>291</v>
      </c>
      <c r="F215" s="49">
        <v>335000</v>
      </c>
      <c r="G215" s="18">
        <f t="shared" si="14"/>
        <v>1</v>
      </c>
      <c r="H215" s="220">
        <v>335000</v>
      </c>
      <c r="I215" s="249">
        <v>3132</v>
      </c>
      <c r="J215" s="21">
        <v>335000</v>
      </c>
      <c r="K215" s="200"/>
      <c r="L215" s="200"/>
      <c r="M215" s="200"/>
      <c r="N215" s="200"/>
      <c r="O215" s="200"/>
      <c r="P215" s="200"/>
      <c r="Q215" s="200">
        <v>335000</v>
      </c>
      <c r="R215" s="200"/>
      <c r="S215" s="200"/>
      <c r="T215" s="200"/>
      <c r="U215" s="200"/>
      <c r="V215" s="200"/>
      <c r="W215" s="49">
        <v>55800</v>
      </c>
      <c r="X215" s="40">
        <f t="shared" si="13"/>
        <v>279200</v>
      </c>
    </row>
    <row r="216" spans="2:24" ht="31.5">
      <c r="B216" s="295"/>
      <c r="C216" s="295"/>
      <c r="D216" s="292"/>
      <c r="E216" s="31" t="s">
        <v>292</v>
      </c>
      <c r="F216" s="49">
        <v>1231000</v>
      </c>
      <c r="G216" s="18">
        <f t="shared" si="14"/>
        <v>1</v>
      </c>
      <c r="H216" s="220">
        <v>1231000</v>
      </c>
      <c r="I216" s="249">
        <v>3132</v>
      </c>
      <c r="J216" s="21">
        <f>800000-750000</f>
        <v>50000</v>
      </c>
      <c r="K216" s="200"/>
      <c r="L216" s="200"/>
      <c r="M216" s="200"/>
      <c r="N216" s="200"/>
      <c r="O216" s="200"/>
      <c r="P216" s="200">
        <v>10000</v>
      </c>
      <c r="Q216" s="200">
        <f>535000-10000</f>
        <v>525000</v>
      </c>
      <c r="R216" s="200"/>
      <c r="S216" s="200">
        <v>-527000</v>
      </c>
      <c r="T216" s="200"/>
      <c r="U216" s="200"/>
      <c r="V216" s="200">
        <f>265000-223000</f>
        <v>42000</v>
      </c>
      <c r="W216" s="49">
        <f>7187.18-7187.18</f>
        <v>0</v>
      </c>
      <c r="X216" s="40">
        <f t="shared" si="13"/>
        <v>8000</v>
      </c>
    </row>
    <row r="217" spans="2:24" ht="31.5">
      <c r="B217" s="295"/>
      <c r="C217" s="295"/>
      <c r="D217" s="292"/>
      <c r="E217" s="67" t="s">
        <v>531</v>
      </c>
      <c r="F217" s="49"/>
      <c r="G217" s="18"/>
      <c r="H217" s="220"/>
      <c r="I217" s="249">
        <v>3132</v>
      </c>
      <c r="J217" s="21">
        <v>750000</v>
      </c>
      <c r="K217" s="200"/>
      <c r="L217" s="200"/>
      <c r="M217" s="200"/>
      <c r="N217" s="200"/>
      <c r="O217" s="200"/>
      <c r="P217" s="200"/>
      <c r="Q217" s="200"/>
      <c r="R217" s="200"/>
      <c r="S217" s="200">
        <v>527000</v>
      </c>
      <c r="T217" s="200"/>
      <c r="U217" s="200"/>
      <c r="V217" s="200">
        <v>223000</v>
      </c>
      <c r="W217" s="49">
        <f>210000</f>
        <v>210000</v>
      </c>
      <c r="X217" s="40">
        <f t="shared" si="13"/>
        <v>317000</v>
      </c>
    </row>
    <row r="218" spans="2:24" ht="15.75">
      <c r="B218" s="295"/>
      <c r="C218" s="295"/>
      <c r="D218" s="292"/>
      <c r="E218" s="74" t="s">
        <v>908</v>
      </c>
      <c r="F218" s="49">
        <v>161000</v>
      </c>
      <c r="G218" s="18">
        <f aca="true" t="shared" si="15" ref="G218:G224">100%-((F218-H218)/F218)</f>
        <v>1</v>
      </c>
      <c r="H218" s="217">
        <v>161000</v>
      </c>
      <c r="I218" s="249">
        <v>3132</v>
      </c>
      <c r="J218" s="21">
        <f>161000+3000</f>
        <v>164000</v>
      </c>
      <c r="K218" s="200"/>
      <c r="L218" s="200"/>
      <c r="M218" s="200"/>
      <c r="N218" s="200"/>
      <c r="O218" s="200"/>
      <c r="P218" s="200"/>
      <c r="Q218" s="200">
        <v>161000</v>
      </c>
      <c r="R218" s="200"/>
      <c r="S218" s="200">
        <v>3000</v>
      </c>
      <c r="T218" s="200"/>
      <c r="U218" s="200"/>
      <c r="V218" s="200"/>
      <c r="W218" s="49">
        <f>158892.2+426+3416</f>
        <v>162734.2</v>
      </c>
      <c r="X218" s="40">
        <f t="shared" si="13"/>
        <v>1265.7999999999884</v>
      </c>
    </row>
    <row r="219" spans="2:24" ht="47.25">
      <c r="B219" s="295"/>
      <c r="C219" s="295"/>
      <c r="D219" s="292"/>
      <c r="E219" s="31" t="s">
        <v>909</v>
      </c>
      <c r="F219" s="49">
        <v>200000</v>
      </c>
      <c r="G219" s="18">
        <f t="shared" si="15"/>
        <v>1</v>
      </c>
      <c r="H219" s="220">
        <f aca="true" t="shared" si="16" ref="H219:H224">F219</f>
        <v>200000</v>
      </c>
      <c r="I219" s="249">
        <v>3132</v>
      </c>
      <c r="J219" s="21">
        <v>200000</v>
      </c>
      <c r="K219" s="200"/>
      <c r="L219" s="200"/>
      <c r="M219" s="200"/>
      <c r="N219" s="200"/>
      <c r="O219" s="200"/>
      <c r="P219" s="200"/>
      <c r="Q219" s="200">
        <v>200000</v>
      </c>
      <c r="R219" s="200"/>
      <c r="S219" s="200"/>
      <c r="T219" s="200"/>
      <c r="U219" s="200"/>
      <c r="V219" s="200"/>
      <c r="W219" s="49">
        <f>194953+3207.36</f>
        <v>198160.36</v>
      </c>
      <c r="X219" s="40">
        <f aca="true" t="shared" si="17" ref="X219:X286">K219+L219+M219+N219+O219+P219+Q219+R219+S219+T219-W219</f>
        <v>1839.640000000014</v>
      </c>
    </row>
    <row r="220" spans="2:24" ht="31.5">
      <c r="B220" s="295"/>
      <c r="C220" s="295"/>
      <c r="D220" s="292"/>
      <c r="E220" s="31" t="s">
        <v>910</v>
      </c>
      <c r="F220" s="49">
        <v>150000</v>
      </c>
      <c r="G220" s="18">
        <f t="shared" si="15"/>
        <v>1</v>
      </c>
      <c r="H220" s="220">
        <f t="shared" si="16"/>
        <v>150000</v>
      </c>
      <c r="I220" s="249">
        <v>3132</v>
      </c>
      <c r="J220" s="21">
        <f>150000+60000</f>
        <v>210000</v>
      </c>
      <c r="K220" s="200"/>
      <c r="L220" s="200"/>
      <c r="M220" s="200"/>
      <c r="N220" s="200"/>
      <c r="O220" s="200"/>
      <c r="P220" s="200"/>
      <c r="Q220" s="200">
        <v>150000</v>
      </c>
      <c r="R220" s="200"/>
      <c r="S220" s="49">
        <v>60000</v>
      </c>
      <c r="T220" s="200"/>
      <c r="U220" s="200"/>
      <c r="V220" s="200"/>
      <c r="W220" s="49">
        <f>2931.66+71277+6840.54+34779</f>
        <v>115828.2</v>
      </c>
      <c r="X220" s="40">
        <f t="shared" si="17"/>
        <v>94171.8</v>
      </c>
    </row>
    <row r="221" spans="2:24" ht="63">
      <c r="B221" s="295"/>
      <c r="C221" s="295"/>
      <c r="D221" s="292"/>
      <c r="E221" s="75" t="s">
        <v>682</v>
      </c>
      <c r="F221" s="49">
        <v>550000</v>
      </c>
      <c r="G221" s="18">
        <f t="shared" si="15"/>
        <v>1</v>
      </c>
      <c r="H221" s="220">
        <f t="shared" si="16"/>
        <v>550000</v>
      </c>
      <c r="I221" s="249">
        <v>3132</v>
      </c>
      <c r="J221" s="76">
        <v>550000</v>
      </c>
      <c r="K221" s="200"/>
      <c r="L221" s="200"/>
      <c r="M221" s="200"/>
      <c r="N221" s="200"/>
      <c r="O221" s="200"/>
      <c r="P221" s="200"/>
      <c r="Q221" s="200">
        <v>550000</v>
      </c>
      <c r="R221" s="200"/>
      <c r="S221" s="200"/>
      <c r="T221" s="200"/>
      <c r="U221" s="200"/>
      <c r="V221" s="200"/>
      <c r="W221" s="49">
        <f>269316.6+9704.4+269316.6</f>
        <v>548337.6</v>
      </c>
      <c r="X221" s="40">
        <f t="shared" si="17"/>
        <v>1662.4000000000233</v>
      </c>
    </row>
    <row r="222" spans="2:24" ht="47.25">
      <c r="B222" s="295"/>
      <c r="C222" s="295"/>
      <c r="D222" s="292"/>
      <c r="E222" s="31" t="s">
        <v>683</v>
      </c>
      <c r="F222" s="49">
        <v>80000</v>
      </c>
      <c r="G222" s="18">
        <f t="shared" si="15"/>
        <v>1</v>
      </c>
      <c r="H222" s="220">
        <f t="shared" si="16"/>
        <v>80000</v>
      </c>
      <c r="I222" s="249">
        <v>3132</v>
      </c>
      <c r="J222" s="21">
        <v>80000</v>
      </c>
      <c r="K222" s="200"/>
      <c r="L222" s="200"/>
      <c r="M222" s="200"/>
      <c r="N222" s="200"/>
      <c r="O222" s="200"/>
      <c r="P222" s="200"/>
      <c r="Q222" s="200">
        <v>80000</v>
      </c>
      <c r="R222" s="200"/>
      <c r="S222" s="200"/>
      <c r="T222" s="200"/>
      <c r="U222" s="200"/>
      <c r="V222" s="200"/>
      <c r="W222" s="49">
        <f>37593.6+1993.8+32546.4</f>
        <v>72133.8</v>
      </c>
      <c r="X222" s="40">
        <f t="shared" si="17"/>
        <v>7866.199999999997</v>
      </c>
    </row>
    <row r="223" spans="2:24" ht="47.25">
      <c r="B223" s="295"/>
      <c r="C223" s="295"/>
      <c r="D223" s="292"/>
      <c r="E223" s="31" t="s">
        <v>519</v>
      </c>
      <c r="F223" s="49">
        <v>350000</v>
      </c>
      <c r="G223" s="18">
        <f t="shared" si="15"/>
        <v>1</v>
      </c>
      <c r="H223" s="220">
        <f t="shared" si="16"/>
        <v>350000</v>
      </c>
      <c r="I223" s="249">
        <v>3132</v>
      </c>
      <c r="J223" s="21">
        <v>350000</v>
      </c>
      <c r="K223" s="200"/>
      <c r="L223" s="200"/>
      <c r="M223" s="200"/>
      <c r="N223" s="200"/>
      <c r="O223" s="200">
        <v>10000</v>
      </c>
      <c r="P223" s="200"/>
      <c r="Q223" s="200">
        <v>340000</v>
      </c>
      <c r="R223" s="200"/>
      <c r="S223" s="200"/>
      <c r="T223" s="200"/>
      <c r="U223" s="200"/>
      <c r="V223" s="200"/>
      <c r="W223" s="49">
        <f>105000</f>
        <v>105000</v>
      </c>
      <c r="X223" s="40">
        <f t="shared" si="17"/>
        <v>245000</v>
      </c>
    </row>
    <row r="224" spans="2:24" ht="66" customHeight="1">
      <c r="B224" s="295"/>
      <c r="C224" s="295"/>
      <c r="D224" s="292"/>
      <c r="E224" s="31" t="s">
        <v>520</v>
      </c>
      <c r="F224" s="49">
        <v>200000</v>
      </c>
      <c r="G224" s="18">
        <f t="shared" si="15"/>
        <v>1</v>
      </c>
      <c r="H224" s="220">
        <f t="shared" si="16"/>
        <v>200000</v>
      </c>
      <c r="I224" s="249">
        <v>3132</v>
      </c>
      <c r="J224" s="21">
        <v>200000</v>
      </c>
      <c r="K224" s="200"/>
      <c r="L224" s="200"/>
      <c r="M224" s="200"/>
      <c r="N224" s="200"/>
      <c r="O224" s="200">
        <v>10000</v>
      </c>
      <c r="P224" s="200"/>
      <c r="Q224" s="200">
        <v>190000</v>
      </c>
      <c r="R224" s="200"/>
      <c r="S224" s="200"/>
      <c r="T224" s="200"/>
      <c r="U224" s="200"/>
      <c r="V224" s="200"/>
      <c r="W224" s="49">
        <f>58546.68+1320+2937+136608.92-4138.4</f>
        <v>195274.2</v>
      </c>
      <c r="X224" s="40">
        <f t="shared" si="17"/>
        <v>4725.799999999988</v>
      </c>
    </row>
    <row r="225" spans="2:24" ht="31.5">
      <c r="B225" s="295"/>
      <c r="C225" s="295"/>
      <c r="D225" s="292"/>
      <c r="E225" s="31" t="s">
        <v>521</v>
      </c>
      <c r="F225" s="49"/>
      <c r="G225" s="18"/>
      <c r="H225" s="220"/>
      <c r="I225" s="249">
        <v>3132</v>
      </c>
      <c r="J225" s="21">
        <v>80000</v>
      </c>
      <c r="K225" s="200"/>
      <c r="L225" s="200"/>
      <c r="M225" s="200"/>
      <c r="N225" s="200"/>
      <c r="O225" s="200"/>
      <c r="P225" s="200"/>
      <c r="Q225" s="200">
        <v>80000</v>
      </c>
      <c r="R225" s="200"/>
      <c r="S225" s="200"/>
      <c r="T225" s="200"/>
      <c r="U225" s="200"/>
      <c r="V225" s="200"/>
      <c r="W225" s="49">
        <f>959.48+2272.12</f>
        <v>3231.6</v>
      </c>
      <c r="X225" s="40">
        <f t="shared" si="17"/>
        <v>76768.4</v>
      </c>
    </row>
    <row r="226" spans="2:24" ht="31.5">
      <c r="B226" s="295"/>
      <c r="C226" s="295"/>
      <c r="D226" s="292"/>
      <c r="E226" s="31" t="s">
        <v>522</v>
      </c>
      <c r="F226" s="49">
        <v>80000</v>
      </c>
      <c r="G226" s="18">
        <f>100%-((F226-H226)/F226)</f>
        <v>1</v>
      </c>
      <c r="H226" s="220">
        <f>F226</f>
        <v>80000</v>
      </c>
      <c r="I226" s="249">
        <v>3132</v>
      </c>
      <c r="J226" s="21">
        <v>80000</v>
      </c>
      <c r="K226" s="200"/>
      <c r="L226" s="200"/>
      <c r="M226" s="200"/>
      <c r="N226" s="200"/>
      <c r="O226" s="200"/>
      <c r="P226" s="200"/>
      <c r="Q226" s="200">
        <v>80000</v>
      </c>
      <c r="R226" s="200"/>
      <c r="S226" s="200"/>
      <c r="T226" s="200"/>
      <c r="U226" s="200"/>
      <c r="V226" s="200"/>
      <c r="W226" s="49">
        <f>2108.43+4919.67</f>
        <v>7028.1</v>
      </c>
      <c r="X226" s="40">
        <f t="shared" si="17"/>
        <v>72971.9</v>
      </c>
    </row>
    <row r="227" spans="2:24" ht="31.5">
      <c r="B227" s="295"/>
      <c r="C227" s="295"/>
      <c r="D227" s="292"/>
      <c r="E227" s="31" t="s">
        <v>523</v>
      </c>
      <c r="F227" s="49"/>
      <c r="G227" s="18"/>
      <c r="H227" s="220"/>
      <c r="I227" s="249">
        <v>3132</v>
      </c>
      <c r="J227" s="21">
        <f>80000-64000</f>
        <v>16000</v>
      </c>
      <c r="K227" s="49"/>
      <c r="L227" s="49"/>
      <c r="M227" s="49"/>
      <c r="N227" s="49"/>
      <c r="O227" s="49">
        <v>55006.27</v>
      </c>
      <c r="P227" s="49">
        <v>-55000</v>
      </c>
      <c r="Q227" s="200">
        <f>24993.73+5000</f>
        <v>29993.73</v>
      </c>
      <c r="R227" s="200"/>
      <c r="S227" s="200"/>
      <c r="T227" s="200">
        <f>50000-64000</f>
        <v>-14000</v>
      </c>
      <c r="U227" s="200"/>
      <c r="V227" s="200"/>
      <c r="W227" s="49">
        <f>2083.32+4605.48</f>
        <v>6688.799999999999</v>
      </c>
      <c r="X227" s="40">
        <f t="shared" si="17"/>
        <v>9311.199999999997</v>
      </c>
    </row>
    <row r="228" spans="2:24" ht="47.25">
      <c r="B228" s="295"/>
      <c r="C228" s="295"/>
      <c r="D228" s="292"/>
      <c r="E228" s="31" t="s">
        <v>524</v>
      </c>
      <c r="F228" s="49"/>
      <c r="G228" s="18"/>
      <c r="H228" s="220"/>
      <c r="I228" s="249">
        <v>3132</v>
      </c>
      <c r="J228" s="21">
        <f>350000+252000</f>
        <v>602000</v>
      </c>
      <c r="K228" s="49"/>
      <c r="L228" s="49"/>
      <c r="M228" s="49"/>
      <c r="N228" s="49"/>
      <c r="O228" s="49">
        <v>110000</v>
      </c>
      <c r="P228" s="49">
        <f>-50000-60000</f>
        <v>-110000</v>
      </c>
      <c r="Q228" s="49">
        <f>50000+10000</f>
        <v>60000</v>
      </c>
      <c r="R228" s="49">
        <f>50000</f>
        <v>50000</v>
      </c>
      <c r="S228" s="49">
        <f>90000+50000-50000+252000</f>
        <v>342000</v>
      </c>
      <c r="T228" s="49"/>
      <c r="U228" s="49"/>
      <c r="V228" s="49">
        <v>150000</v>
      </c>
      <c r="W228" s="49">
        <v>100500</v>
      </c>
      <c r="X228" s="40">
        <f t="shared" si="17"/>
        <v>351500</v>
      </c>
    </row>
    <row r="229" spans="2:24" ht="47.25">
      <c r="B229" s="295"/>
      <c r="C229" s="295"/>
      <c r="D229" s="292"/>
      <c r="E229" s="31" t="s">
        <v>525</v>
      </c>
      <c r="F229" s="49">
        <v>50000</v>
      </c>
      <c r="G229" s="18">
        <f>100%-((F229-H229)/F229)</f>
        <v>1</v>
      </c>
      <c r="H229" s="220">
        <f>F229</f>
        <v>50000</v>
      </c>
      <c r="I229" s="249">
        <v>3132</v>
      </c>
      <c r="J229" s="21">
        <v>50000</v>
      </c>
      <c r="K229" s="49"/>
      <c r="L229" s="49"/>
      <c r="M229" s="49"/>
      <c r="N229" s="49"/>
      <c r="O229" s="49">
        <v>38000</v>
      </c>
      <c r="P229" s="49"/>
      <c r="Q229" s="49">
        <f>12000-5000</f>
        <v>7000</v>
      </c>
      <c r="R229" s="49">
        <v>5000</v>
      </c>
      <c r="S229" s="49"/>
      <c r="T229" s="49"/>
      <c r="U229" s="49"/>
      <c r="V229" s="49"/>
      <c r="W229" s="49"/>
      <c r="X229" s="40">
        <f t="shared" si="17"/>
        <v>50000</v>
      </c>
    </row>
    <row r="230" spans="2:24" ht="31.5">
      <c r="B230" s="295"/>
      <c r="C230" s="295"/>
      <c r="D230" s="292"/>
      <c r="E230" s="31" t="s">
        <v>928</v>
      </c>
      <c r="F230" s="49">
        <v>50000</v>
      </c>
      <c r="G230" s="18">
        <f>100%-((F230-H230)/F230)</f>
        <v>1</v>
      </c>
      <c r="H230" s="220">
        <f>F230</f>
        <v>50000</v>
      </c>
      <c r="I230" s="249">
        <v>3132</v>
      </c>
      <c r="J230" s="21">
        <f>50000-22000</f>
        <v>28000</v>
      </c>
      <c r="K230" s="49"/>
      <c r="L230" s="49"/>
      <c r="M230" s="49"/>
      <c r="N230" s="49"/>
      <c r="O230" s="49">
        <v>50000</v>
      </c>
      <c r="P230" s="49">
        <v>-25000</v>
      </c>
      <c r="Q230" s="49">
        <v>25000</v>
      </c>
      <c r="R230" s="49"/>
      <c r="S230" s="49"/>
      <c r="T230" s="49">
        <v>-22000</v>
      </c>
      <c r="U230" s="49"/>
      <c r="V230" s="49"/>
      <c r="W230" s="49">
        <f>1080+2346+15809.93</f>
        <v>19235.93</v>
      </c>
      <c r="X230" s="40">
        <f t="shared" si="17"/>
        <v>8764.07</v>
      </c>
    </row>
    <row r="231" spans="2:24" ht="31.5">
      <c r="B231" s="295"/>
      <c r="C231" s="295"/>
      <c r="D231" s="292"/>
      <c r="E231" s="31" t="s">
        <v>929</v>
      </c>
      <c r="F231" s="49"/>
      <c r="G231" s="18"/>
      <c r="H231" s="220"/>
      <c r="I231" s="249">
        <v>3132</v>
      </c>
      <c r="J231" s="21">
        <v>50000</v>
      </c>
      <c r="K231" s="49"/>
      <c r="L231" s="49"/>
      <c r="M231" s="49"/>
      <c r="N231" s="49"/>
      <c r="O231" s="49">
        <v>50000</v>
      </c>
      <c r="P231" s="49">
        <v>-25000</v>
      </c>
      <c r="Q231" s="49">
        <v>25000</v>
      </c>
      <c r="R231" s="49"/>
      <c r="S231" s="49"/>
      <c r="T231" s="49"/>
      <c r="U231" s="49"/>
      <c r="V231" s="49"/>
      <c r="W231" s="49">
        <f>14558.64+592.8+732+33970.16-2520.8</f>
        <v>47332.8</v>
      </c>
      <c r="X231" s="40">
        <f t="shared" si="17"/>
        <v>2667.199999999997</v>
      </c>
    </row>
    <row r="232" spans="2:24" ht="31.5">
      <c r="B232" s="295"/>
      <c r="C232" s="295"/>
      <c r="D232" s="292"/>
      <c r="E232" s="31" t="s">
        <v>203</v>
      </c>
      <c r="F232" s="49">
        <v>50000</v>
      </c>
      <c r="G232" s="18">
        <f>100%-((F232-H232)/F232)</f>
        <v>1</v>
      </c>
      <c r="H232" s="220">
        <f>F232</f>
        <v>50000</v>
      </c>
      <c r="I232" s="249">
        <v>3132</v>
      </c>
      <c r="J232" s="21">
        <f>50000+50000</f>
        <v>100000</v>
      </c>
      <c r="K232" s="49"/>
      <c r="L232" s="49"/>
      <c r="M232" s="49"/>
      <c r="N232" s="49"/>
      <c r="O232" s="49">
        <v>50000</v>
      </c>
      <c r="P232" s="49">
        <v>-25000</v>
      </c>
      <c r="Q232" s="49">
        <v>20000</v>
      </c>
      <c r="R232" s="49">
        <v>5000</v>
      </c>
      <c r="S232" s="49"/>
      <c r="T232" s="49">
        <v>50000</v>
      </c>
      <c r="U232" s="49"/>
      <c r="V232" s="49"/>
      <c r="W232" s="49">
        <f>2083.32+4861.08+43725.8</f>
        <v>50670.200000000004</v>
      </c>
      <c r="X232" s="40">
        <f t="shared" si="17"/>
        <v>49329.799999999996</v>
      </c>
    </row>
    <row r="233" spans="2:24" ht="31.5">
      <c r="B233" s="295"/>
      <c r="C233" s="295"/>
      <c r="D233" s="292"/>
      <c r="E233" s="31" t="s">
        <v>204</v>
      </c>
      <c r="F233" s="49">
        <v>50000</v>
      </c>
      <c r="G233" s="18">
        <f>100%-((F233-H233)/F233)</f>
        <v>1</v>
      </c>
      <c r="H233" s="220">
        <f>F233</f>
        <v>50000</v>
      </c>
      <c r="I233" s="249">
        <v>3132</v>
      </c>
      <c r="J233" s="21">
        <v>50000</v>
      </c>
      <c r="K233" s="49"/>
      <c r="L233" s="49"/>
      <c r="M233" s="49"/>
      <c r="N233" s="49"/>
      <c r="O233" s="49">
        <v>50000</v>
      </c>
      <c r="P233" s="49">
        <v>-25000</v>
      </c>
      <c r="Q233" s="49"/>
      <c r="R233" s="49">
        <v>25000</v>
      </c>
      <c r="S233" s="49"/>
      <c r="T233" s="49"/>
      <c r="U233" s="49"/>
      <c r="V233" s="49"/>
      <c r="W233" s="49">
        <f>2355.53+5496.24</f>
        <v>7851.77</v>
      </c>
      <c r="X233" s="40">
        <f t="shared" si="17"/>
        <v>42148.229999999996</v>
      </c>
    </row>
    <row r="234" spans="2:24" ht="31.5">
      <c r="B234" s="295"/>
      <c r="C234" s="295"/>
      <c r="D234" s="292"/>
      <c r="E234" s="31" t="s">
        <v>205</v>
      </c>
      <c r="F234" s="49"/>
      <c r="G234" s="18"/>
      <c r="H234" s="220"/>
      <c r="I234" s="249">
        <v>3132</v>
      </c>
      <c r="J234" s="21">
        <f>50000+64000</f>
        <v>114000</v>
      </c>
      <c r="K234" s="49"/>
      <c r="L234" s="49"/>
      <c r="M234" s="49"/>
      <c r="N234" s="49"/>
      <c r="O234" s="49">
        <v>50000</v>
      </c>
      <c r="P234" s="49">
        <v>-25000</v>
      </c>
      <c r="Q234" s="49">
        <v>25000</v>
      </c>
      <c r="R234" s="49"/>
      <c r="S234" s="49"/>
      <c r="T234" s="49">
        <v>64000</v>
      </c>
      <c r="U234" s="49"/>
      <c r="V234" s="49"/>
      <c r="W234" s="49">
        <f>2083.32+4861.08</f>
        <v>6944.4</v>
      </c>
      <c r="X234" s="40">
        <f t="shared" si="17"/>
        <v>107055.6</v>
      </c>
    </row>
    <row r="235" spans="2:24" ht="47.25">
      <c r="B235" s="295"/>
      <c r="C235" s="295"/>
      <c r="D235" s="292"/>
      <c r="E235" s="31" t="s">
        <v>206</v>
      </c>
      <c r="F235" s="49"/>
      <c r="G235" s="18"/>
      <c r="H235" s="220"/>
      <c r="I235" s="249">
        <v>3132</v>
      </c>
      <c r="J235" s="21">
        <v>50000</v>
      </c>
      <c r="K235" s="49"/>
      <c r="L235" s="49"/>
      <c r="M235" s="49"/>
      <c r="N235" s="49"/>
      <c r="O235" s="49">
        <v>50000</v>
      </c>
      <c r="P235" s="49">
        <v>-23200</v>
      </c>
      <c r="Q235" s="49">
        <v>23200</v>
      </c>
      <c r="R235" s="49"/>
      <c r="S235" s="49"/>
      <c r="T235" s="49"/>
      <c r="U235" s="49"/>
      <c r="V235" s="49"/>
      <c r="W235" s="49"/>
      <c r="X235" s="40">
        <f t="shared" si="17"/>
        <v>50000</v>
      </c>
    </row>
    <row r="236" spans="2:24" ht="47.25">
      <c r="B236" s="295"/>
      <c r="C236" s="295"/>
      <c r="D236" s="292"/>
      <c r="E236" s="31" t="s">
        <v>267</v>
      </c>
      <c r="F236" s="49">
        <v>200000</v>
      </c>
      <c r="G236" s="18">
        <f>100%-((F236-H236)/F236)</f>
        <v>1</v>
      </c>
      <c r="H236" s="220">
        <f>F236</f>
        <v>200000</v>
      </c>
      <c r="I236" s="249">
        <v>3132</v>
      </c>
      <c r="J236" s="21">
        <f>200000+110000+256000</f>
        <v>566000</v>
      </c>
      <c r="K236" s="49"/>
      <c r="L236" s="49"/>
      <c r="M236" s="49"/>
      <c r="N236" s="49"/>
      <c r="O236" s="49">
        <v>90000</v>
      </c>
      <c r="P236" s="49"/>
      <c r="Q236" s="49">
        <v>10000</v>
      </c>
      <c r="R236" s="49">
        <f>64000</f>
        <v>64000</v>
      </c>
      <c r="S236" s="49">
        <v>256000</v>
      </c>
      <c r="T236" s="49">
        <f>50000-50000</f>
        <v>0</v>
      </c>
      <c r="U236" s="49">
        <f>110000-14000</f>
        <v>96000</v>
      </c>
      <c r="V236" s="49">
        <v>50000</v>
      </c>
      <c r="W236" s="49">
        <f>6000+13697+143685.5+5148+143685.5</f>
        <v>312216</v>
      </c>
      <c r="X236" s="40">
        <f t="shared" si="17"/>
        <v>107784</v>
      </c>
    </row>
    <row r="237" spans="2:24" ht="47.25">
      <c r="B237" s="295"/>
      <c r="C237" s="295"/>
      <c r="D237" s="292"/>
      <c r="E237" s="31" t="s">
        <v>268</v>
      </c>
      <c r="F237" s="49"/>
      <c r="G237" s="18"/>
      <c r="H237" s="220"/>
      <c r="I237" s="249">
        <v>3132</v>
      </c>
      <c r="J237" s="21">
        <v>1020000</v>
      </c>
      <c r="K237" s="49"/>
      <c r="L237" s="49"/>
      <c r="M237" s="49"/>
      <c r="N237" s="49"/>
      <c r="O237" s="49">
        <v>300000</v>
      </c>
      <c r="P237" s="49">
        <f>-150000-100000</f>
        <v>-250000</v>
      </c>
      <c r="Q237" s="49">
        <f>150000+300000+300000</f>
        <v>750000</v>
      </c>
      <c r="R237" s="49">
        <f>320000-300000</f>
        <v>20000</v>
      </c>
      <c r="S237" s="49">
        <f>200000+100000-300000</f>
        <v>0</v>
      </c>
      <c r="T237" s="49"/>
      <c r="U237" s="49"/>
      <c r="V237" s="49">
        <v>200000</v>
      </c>
      <c r="W237" s="49">
        <f>51799+661671.36</f>
        <v>713470.36</v>
      </c>
      <c r="X237" s="40">
        <f t="shared" si="17"/>
        <v>106529.64000000001</v>
      </c>
    </row>
    <row r="238" spans="2:24" ht="47.25">
      <c r="B238" s="295"/>
      <c r="C238" s="295"/>
      <c r="D238" s="292"/>
      <c r="E238" s="31" t="s">
        <v>269</v>
      </c>
      <c r="F238" s="49"/>
      <c r="G238" s="18"/>
      <c r="H238" s="220"/>
      <c r="I238" s="249">
        <v>3132</v>
      </c>
      <c r="J238" s="21">
        <v>100000</v>
      </c>
      <c r="K238" s="49"/>
      <c r="L238" s="49"/>
      <c r="M238" s="49"/>
      <c r="N238" s="49"/>
      <c r="O238" s="49">
        <v>50000</v>
      </c>
      <c r="P238" s="49"/>
      <c r="Q238" s="49"/>
      <c r="R238" s="49"/>
      <c r="S238" s="49"/>
      <c r="T238" s="49">
        <f>3000+3000</f>
        <v>6000</v>
      </c>
      <c r="U238" s="49"/>
      <c r="V238" s="49">
        <f>50000-3000-3000</f>
        <v>44000</v>
      </c>
      <c r="W238" s="49">
        <f>1829.61+4269.09+46200.65</f>
        <v>52299.35</v>
      </c>
      <c r="X238" s="40">
        <f t="shared" si="17"/>
        <v>3700.6500000000015</v>
      </c>
    </row>
    <row r="239" spans="2:24" ht="47.25">
      <c r="B239" s="295"/>
      <c r="C239" s="295"/>
      <c r="D239" s="292"/>
      <c r="E239" s="31" t="s">
        <v>270</v>
      </c>
      <c r="F239" s="49">
        <v>100000</v>
      </c>
      <c r="G239" s="18">
        <f>100%-((F239-H239)/F239)</f>
        <v>1</v>
      </c>
      <c r="H239" s="220">
        <f>F239</f>
        <v>100000</v>
      </c>
      <c r="I239" s="249">
        <v>3132</v>
      </c>
      <c r="J239" s="21">
        <v>100000</v>
      </c>
      <c r="K239" s="49"/>
      <c r="L239" s="49"/>
      <c r="M239" s="49"/>
      <c r="N239" s="49"/>
      <c r="O239" s="49">
        <v>10000</v>
      </c>
      <c r="P239" s="49"/>
      <c r="Q239" s="49">
        <v>40000</v>
      </c>
      <c r="R239" s="49"/>
      <c r="S239" s="49"/>
      <c r="T239" s="49"/>
      <c r="U239" s="49"/>
      <c r="V239" s="49">
        <v>50000</v>
      </c>
      <c r="W239" s="49">
        <v>24827.9</v>
      </c>
      <c r="X239" s="40">
        <f t="shared" si="17"/>
        <v>25172.1</v>
      </c>
    </row>
    <row r="240" spans="2:24" ht="31.5">
      <c r="B240" s="295"/>
      <c r="C240" s="295"/>
      <c r="D240" s="292"/>
      <c r="E240" s="31" t="s">
        <v>533</v>
      </c>
      <c r="F240" s="49"/>
      <c r="G240" s="18"/>
      <c r="H240" s="220"/>
      <c r="I240" s="249">
        <v>3110</v>
      </c>
      <c r="J240" s="21">
        <v>100000</v>
      </c>
      <c r="K240" s="49"/>
      <c r="L240" s="49"/>
      <c r="M240" s="49"/>
      <c r="N240" s="49"/>
      <c r="O240" s="49"/>
      <c r="P240" s="49"/>
      <c r="Q240" s="49"/>
      <c r="R240" s="49"/>
      <c r="S240" s="49">
        <v>100000</v>
      </c>
      <c r="T240" s="49"/>
      <c r="U240" s="49"/>
      <c r="V240" s="49"/>
      <c r="W240" s="49"/>
      <c r="X240" s="40">
        <f t="shared" si="17"/>
        <v>100000</v>
      </c>
    </row>
    <row r="241" spans="2:24" ht="31.5">
      <c r="B241" s="295"/>
      <c r="C241" s="295"/>
      <c r="D241" s="292"/>
      <c r="E241" s="31" t="s">
        <v>271</v>
      </c>
      <c r="F241" s="49">
        <v>700000</v>
      </c>
      <c r="G241" s="18">
        <f>100%-((F241-H241)/F241)</f>
        <v>1</v>
      </c>
      <c r="H241" s="220">
        <f>F241</f>
        <v>700000</v>
      </c>
      <c r="I241" s="249">
        <v>3110</v>
      </c>
      <c r="J241" s="21">
        <f>700000-603000</f>
        <v>97000</v>
      </c>
      <c r="K241" s="49"/>
      <c r="L241" s="49"/>
      <c r="M241" s="49"/>
      <c r="N241" s="49"/>
      <c r="O241" s="49">
        <v>700000</v>
      </c>
      <c r="P241" s="49">
        <v>-200000</v>
      </c>
      <c r="Q241" s="49">
        <v>200000</v>
      </c>
      <c r="R241" s="49"/>
      <c r="S241" s="49">
        <v>-603000</v>
      </c>
      <c r="T241" s="49"/>
      <c r="U241" s="49"/>
      <c r="V241" s="49"/>
      <c r="W241" s="49">
        <f>96496</f>
        <v>96496</v>
      </c>
      <c r="X241" s="40">
        <f t="shared" si="17"/>
        <v>504</v>
      </c>
    </row>
    <row r="242" spans="2:24" ht="31.5">
      <c r="B242" s="295"/>
      <c r="C242" s="295"/>
      <c r="D242" s="292"/>
      <c r="E242" s="31" t="s">
        <v>532</v>
      </c>
      <c r="F242" s="49"/>
      <c r="G242" s="18"/>
      <c r="H242" s="220"/>
      <c r="I242" s="249">
        <v>3132</v>
      </c>
      <c r="J242" s="21">
        <v>503000</v>
      </c>
      <c r="K242" s="49"/>
      <c r="L242" s="49"/>
      <c r="M242" s="49"/>
      <c r="N242" s="49"/>
      <c r="O242" s="49"/>
      <c r="P242" s="49"/>
      <c r="Q242" s="49"/>
      <c r="R242" s="49"/>
      <c r="S242" s="49">
        <v>503000</v>
      </c>
      <c r="T242" s="49"/>
      <c r="U242" s="49"/>
      <c r="V242" s="49"/>
      <c r="W242" s="49">
        <f>359008.12</f>
        <v>359008.12</v>
      </c>
      <c r="X242" s="40">
        <f t="shared" si="17"/>
        <v>143991.88</v>
      </c>
    </row>
    <row r="243" spans="2:24" ht="31.5">
      <c r="B243" s="295"/>
      <c r="C243" s="295"/>
      <c r="D243" s="292"/>
      <c r="E243" s="31" t="s">
        <v>272</v>
      </c>
      <c r="F243" s="49"/>
      <c r="G243" s="18"/>
      <c r="H243" s="220"/>
      <c r="I243" s="249">
        <v>3132</v>
      </c>
      <c r="J243" s="21">
        <v>56000</v>
      </c>
      <c r="K243" s="49"/>
      <c r="L243" s="49"/>
      <c r="M243" s="49"/>
      <c r="N243" s="49"/>
      <c r="O243" s="49">
        <v>56000</v>
      </c>
      <c r="P243" s="49"/>
      <c r="Q243" s="49"/>
      <c r="R243" s="49"/>
      <c r="S243" s="49"/>
      <c r="T243" s="49"/>
      <c r="U243" s="49"/>
      <c r="V243" s="49"/>
      <c r="W243" s="49">
        <f>1065+369</f>
        <v>1434</v>
      </c>
      <c r="X243" s="40">
        <f t="shared" si="17"/>
        <v>54566</v>
      </c>
    </row>
    <row r="244" spans="2:24" ht="31.5">
      <c r="B244" s="295"/>
      <c r="C244" s="295"/>
      <c r="D244" s="292"/>
      <c r="E244" s="31" t="s">
        <v>273</v>
      </c>
      <c r="F244" s="49">
        <v>61000</v>
      </c>
      <c r="G244" s="18">
        <f>100%-((F244-H244)/F244)</f>
        <v>1</v>
      </c>
      <c r="H244" s="220">
        <f>F244</f>
        <v>61000</v>
      </c>
      <c r="I244" s="249">
        <v>3132</v>
      </c>
      <c r="J244" s="21">
        <v>61000</v>
      </c>
      <c r="K244" s="49"/>
      <c r="L244" s="49"/>
      <c r="M244" s="49"/>
      <c r="N244" s="49"/>
      <c r="O244" s="49">
        <v>61000</v>
      </c>
      <c r="P244" s="49"/>
      <c r="Q244" s="49"/>
      <c r="R244" s="49"/>
      <c r="S244" s="49"/>
      <c r="T244" s="49"/>
      <c r="U244" s="49"/>
      <c r="V244" s="49"/>
      <c r="W244" s="49"/>
      <c r="X244" s="40">
        <f t="shared" si="17"/>
        <v>61000</v>
      </c>
    </row>
    <row r="245" spans="2:24" ht="31.5">
      <c r="B245" s="295"/>
      <c r="C245" s="295"/>
      <c r="D245" s="292"/>
      <c r="E245" s="31" t="s">
        <v>518</v>
      </c>
      <c r="F245" s="49"/>
      <c r="G245" s="18"/>
      <c r="H245" s="220"/>
      <c r="I245" s="249">
        <v>3132</v>
      </c>
      <c r="J245" s="21">
        <f>1212500-448000-168750-118750</f>
        <v>477000</v>
      </c>
      <c r="K245" s="49"/>
      <c r="L245" s="49"/>
      <c r="M245" s="49"/>
      <c r="N245" s="49"/>
      <c r="O245" s="49"/>
      <c r="P245" s="49"/>
      <c r="Q245" s="49">
        <v>350000</v>
      </c>
      <c r="R245" s="49">
        <v>862500</v>
      </c>
      <c r="S245" s="49">
        <v>-448000</v>
      </c>
      <c r="T245" s="49">
        <f>-168750-118750</f>
        <v>-287500</v>
      </c>
      <c r="U245" s="49"/>
      <c r="V245" s="49"/>
      <c r="W245" s="49">
        <f>1950+1950+3230+4550</f>
        <v>11680</v>
      </c>
      <c r="X245" s="40">
        <f t="shared" si="17"/>
        <v>465320</v>
      </c>
    </row>
    <row r="246" spans="2:24" ht="47.25">
      <c r="B246" s="295"/>
      <c r="C246" s="295"/>
      <c r="D246" s="292"/>
      <c r="E246" s="31" t="s">
        <v>379</v>
      </c>
      <c r="F246" s="49"/>
      <c r="G246" s="18"/>
      <c r="H246" s="220"/>
      <c r="I246" s="249">
        <v>3132</v>
      </c>
      <c r="J246" s="21">
        <v>66000</v>
      </c>
      <c r="K246" s="49"/>
      <c r="L246" s="49"/>
      <c r="M246" s="49"/>
      <c r="N246" s="49"/>
      <c r="O246" s="49"/>
      <c r="P246" s="49"/>
      <c r="Q246" s="49">
        <v>66000</v>
      </c>
      <c r="R246" s="49"/>
      <c r="S246" s="49"/>
      <c r="T246" s="49"/>
      <c r="U246" s="49"/>
      <c r="V246" s="49"/>
      <c r="W246" s="49"/>
      <c r="X246" s="40">
        <f t="shared" si="17"/>
        <v>66000</v>
      </c>
    </row>
    <row r="247" spans="2:24" ht="63">
      <c r="B247" s="295"/>
      <c r="C247" s="295"/>
      <c r="D247" s="292"/>
      <c r="E247" s="31" t="s">
        <v>380</v>
      </c>
      <c r="F247" s="49"/>
      <c r="G247" s="18"/>
      <c r="H247" s="220"/>
      <c r="I247" s="249">
        <v>3132</v>
      </c>
      <c r="J247" s="21">
        <v>3500</v>
      </c>
      <c r="K247" s="49"/>
      <c r="L247" s="49"/>
      <c r="M247" s="49"/>
      <c r="N247" s="49"/>
      <c r="O247" s="49"/>
      <c r="P247" s="49"/>
      <c r="Q247" s="49">
        <v>3500</v>
      </c>
      <c r="R247" s="49"/>
      <c r="S247" s="49"/>
      <c r="T247" s="49"/>
      <c r="U247" s="49"/>
      <c r="V247" s="49"/>
      <c r="W247" s="49">
        <v>1963.84</v>
      </c>
      <c r="X247" s="40">
        <f t="shared" si="17"/>
        <v>1536.16</v>
      </c>
    </row>
    <row r="248" spans="2:24" ht="47.25">
      <c r="B248" s="295"/>
      <c r="C248" s="295"/>
      <c r="D248" s="292"/>
      <c r="E248" s="31" t="s">
        <v>454</v>
      </c>
      <c r="F248" s="49"/>
      <c r="G248" s="18"/>
      <c r="H248" s="220"/>
      <c r="I248" s="249">
        <v>3132</v>
      </c>
      <c r="J248" s="21">
        <f>200000+307000</f>
        <v>507000</v>
      </c>
      <c r="K248" s="49"/>
      <c r="L248" s="49"/>
      <c r="M248" s="49"/>
      <c r="N248" s="49"/>
      <c r="O248" s="49"/>
      <c r="P248" s="49"/>
      <c r="Q248" s="49">
        <v>20000</v>
      </c>
      <c r="R248" s="49"/>
      <c r="S248" s="49">
        <f>180000+307000</f>
        <v>487000</v>
      </c>
      <c r="T248" s="49"/>
      <c r="U248" s="49"/>
      <c r="V248" s="49"/>
      <c r="W248" s="49">
        <f>3478+6739.71+1375+122500</f>
        <v>134092.71</v>
      </c>
      <c r="X248" s="40">
        <f t="shared" si="17"/>
        <v>372907.29000000004</v>
      </c>
    </row>
    <row r="249" spans="2:24" ht="31.5">
      <c r="B249" s="295"/>
      <c r="C249" s="295"/>
      <c r="D249" s="292"/>
      <c r="E249" s="31" t="s">
        <v>593</v>
      </c>
      <c r="F249" s="49"/>
      <c r="G249" s="18"/>
      <c r="H249" s="220"/>
      <c r="I249" s="249">
        <v>3132</v>
      </c>
      <c r="J249" s="21">
        <v>30000</v>
      </c>
      <c r="K249" s="49"/>
      <c r="L249" s="49"/>
      <c r="M249" s="49"/>
      <c r="N249" s="49"/>
      <c r="O249" s="49"/>
      <c r="P249" s="49"/>
      <c r="Q249" s="49"/>
      <c r="R249" s="49"/>
      <c r="S249" s="49">
        <v>30000</v>
      </c>
      <c r="T249" s="49"/>
      <c r="U249" s="49"/>
      <c r="V249" s="49"/>
      <c r="W249" s="49"/>
      <c r="X249" s="40">
        <f t="shared" si="17"/>
        <v>30000</v>
      </c>
    </row>
    <row r="250" spans="2:24" ht="31.5">
      <c r="B250" s="295"/>
      <c r="C250" s="295"/>
      <c r="D250" s="292"/>
      <c r="E250" s="29" t="s">
        <v>318</v>
      </c>
      <c r="F250" s="49"/>
      <c r="G250" s="18"/>
      <c r="H250" s="220"/>
      <c r="I250" s="249">
        <v>3132</v>
      </c>
      <c r="J250" s="21">
        <v>506000</v>
      </c>
      <c r="K250" s="49"/>
      <c r="L250" s="49"/>
      <c r="M250" s="49"/>
      <c r="N250" s="49"/>
      <c r="O250" s="49"/>
      <c r="P250" s="49"/>
      <c r="Q250" s="49"/>
      <c r="R250" s="49"/>
      <c r="S250" s="21">
        <v>506000</v>
      </c>
      <c r="T250" s="49"/>
      <c r="U250" s="49"/>
      <c r="V250" s="49"/>
      <c r="W250" s="49">
        <v>1968</v>
      </c>
      <c r="X250" s="40">
        <f t="shared" si="17"/>
        <v>504032</v>
      </c>
    </row>
    <row r="251" spans="2:24" ht="47.25">
      <c r="B251" s="295"/>
      <c r="C251" s="295"/>
      <c r="D251" s="292"/>
      <c r="E251" s="29" t="s">
        <v>319</v>
      </c>
      <c r="F251" s="49"/>
      <c r="G251" s="18"/>
      <c r="H251" s="220"/>
      <c r="I251" s="249">
        <v>3110</v>
      </c>
      <c r="J251" s="21">
        <v>97000</v>
      </c>
      <c r="K251" s="49"/>
      <c r="L251" s="49"/>
      <c r="M251" s="49"/>
      <c r="N251" s="49"/>
      <c r="O251" s="49"/>
      <c r="P251" s="49"/>
      <c r="Q251" s="49"/>
      <c r="R251" s="49"/>
      <c r="S251" s="21">
        <v>97000</v>
      </c>
      <c r="T251" s="49"/>
      <c r="U251" s="49"/>
      <c r="V251" s="49"/>
      <c r="W251" s="49">
        <v>96999.59</v>
      </c>
      <c r="X251" s="40">
        <f t="shared" si="17"/>
        <v>0.41000000000349246</v>
      </c>
    </row>
    <row r="252" spans="2:24" ht="47.25">
      <c r="B252" s="295"/>
      <c r="C252" s="295"/>
      <c r="D252" s="292"/>
      <c r="E252" s="29" t="s">
        <v>921</v>
      </c>
      <c r="F252" s="49"/>
      <c r="G252" s="18"/>
      <c r="H252" s="220"/>
      <c r="I252" s="249">
        <v>3132</v>
      </c>
      <c r="J252" s="21">
        <v>223000</v>
      </c>
      <c r="K252" s="49"/>
      <c r="L252" s="49"/>
      <c r="M252" s="49"/>
      <c r="N252" s="49"/>
      <c r="O252" s="49"/>
      <c r="P252" s="49"/>
      <c r="Q252" s="49"/>
      <c r="R252" s="49"/>
      <c r="S252" s="21">
        <v>223000</v>
      </c>
      <c r="T252" s="49"/>
      <c r="U252" s="49"/>
      <c r="V252" s="49"/>
      <c r="W252" s="49">
        <f>109494</f>
        <v>109494</v>
      </c>
      <c r="X252" s="40">
        <f t="shared" si="17"/>
        <v>113506</v>
      </c>
    </row>
    <row r="253" spans="2:24" ht="31.5">
      <c r="B253" s="295"/>
      <c r="C253" s="295"/>
      <c r="D253" s="292"/>
      <c r="E253" s="29" t="s">
        <v>922</v>
      </c>
      <c r="F253" s="49"/>
      <c r="G253" s="18"/>
      <c r="H253" s="220"/>
      <c r="I253" s="249">
        <v>3132</v>
      </c>
      <c r="J253" s="21">
        <v>298000</v>
      </c>
      <c r="K253" s="49"/>
      <c r="L253" s="49"/>
      <c r="M253" s="49"/>
      <c r="N253" s="49"/>
      <c r="O253" s="49"/>
      <c r="P253" s="49"/>
      <c r="Q253" s="49"/>
      <c r="R253" s="49"/>
      <c r="S253" s="21">
        <v>298000</v>
      </c>
      <c r="T253" s="49"/>
      <c r="U253" s="49"/>
      <c r="V253" s="49"/>
      <c r="W253" s="49">
        <f>204663.2</f>
        <v>204663.2</v>
      </c>
      <c r="X253" s="40">
        <f t="shared" si="17"/>
        <v>93336.79999999999</v>
      </c>
    </row>
    <row r="254" spans="2:24" ht="31.5">
      <c r="B254" s="295"/>
      <c r="C254" s="295"/>
      <c r="D254" s="292"/>
      <c r="E254" s="29" t="s">
        <v>925</v>
      </c>
      <c r="F254" s="49"/>
      <c r="G254" s="18"/>
      <c r="H254" s="220"/>
      <c r="I254" s="249">
        <v>3132</v>
      </c>
      <c r="J254" s="21">
        <v>100000</v>
      </c>
      <c r="K254" s="49"/>
      <c r="L254" s="49"/>
      <c r="M254" s="49"/>
      <c r="N254" s="49"/>
      <c r="O254" s="49"/>
      <c r="P254" s="49"/>
      <c r="Q254" s="49"/>
      <c r="R254" s="49"/>
      <c r="S254" s="21">
        <v>100000</v>
      </c>
      <c r="T254" s="49"/>
      <c r="U254" s="49"/>
      <c r="V254" s="49"/>
      <c r="W254" s="49"/>
      <c r="X254" s="40">
        <f t="shared" si="17"/>
        <v>100000</v>
      </c>
    </row>
    <row r="255" spans="2:24" ht="31.5">
      <c r="B255" s="295"/>
      <c r="C255" s="295"/>
      <c r="D255" s="292"/>
      <c r="E255" s="31" t="s">
        <v>771</v>
      </c>
      <c r="F255" s="49"/>
      <c r="G255" s="18"/>
      <c r="H255" s="220"/>
      <c r="I255" s="249">
        <v>3132</v>
      </c>
      <c r="J255" s="21">
        <f>300000+240000-60000</f>
        <v>480000</v>
      </c>
      <c r="K255" s="49"/>
      <c r="L255" s="49"/>
      <c r="M255" s="49"/>
      <c r="N255" s="49"/>
      <c r="O255" s="49"/>
      <c r="P255" s="49"/>
      <c r="Q255" s="49"/>
      <c r="R255" s="49"/>
      <c r="S255" s="49">
        <f>300000+240000</f>
        <v>540000</v>
      </c>
      <c r="T255" s="49">
        <v>-60000</v>
      </c>
      <c r="U255" s="49"/>
      <c r="V255" s="49"/>
      <c r="W255" s="49"/>
      <c r="X255" s="40">
        <f t="shared" si="17"/>
        <v>480000</v>
      </c>
    </row>
    <row r="256" spans="2:24" ht="31.5">
      <c r="B256" s="295"/>
      <c r="C256" s="295"/>
      <c r="D256" s="292"/>
      <c r="E256" s="29" t="s">
        <v>310</v>
      </c>
      <c r="F256" s="49"/>
      <c r="G256" s="18"/>
      <c r="H256" s="220"/>
      <c r="I256" s="249">
        <v>3132</v>
      </c>
      <c r="J256" s="21">
        <v>306000</v>
      </c>
      <c r="K256" s="49"/>
      <c r="L256" s="49"/>
      <c r="M256" s="49"/>
      <c r="N256" s="49"/>
      <c r="O256" s="49"/>
      <c r="P256" s="49"/>
      <c r="Q256" s="49"/>
      <c r="R256" s="49"/>
      <c r="S256" s="21">
        <v>306000</v>
      </c>
      <c r="T256" s="49"/>
      <c r="U256" s="49"/>
      <c r="V256" s="49"/>
      <c r="W256" s="49">
        <v>201973.8</v>
      </c>
      <c r="X256" s="40">
        <f t="shared" si="17"/>
        <v>104026.20000000001</v>
      </c>
    </row>
    <row r="257" spans="2:24" ht="31.5">
      <c r="B257" s="295"/>
      <c r="C257" s="295"/>
      <c r="D257" s="292"/>
      <c r="E257" s="29" t="s">
        <v>311</v>
      </c>
      <c r="F257" s="49"/>
      <c r="G257" s="18"/>
      <c r="H257" s="220"/>
      <c r="I257" s="249">
        <v>3132</v>
      </c>
      <c r="J257" s="21">
        <v>352000</v>
      </c>
      <c r="K257" s="49"/>
      <c r="L257" s="49"/>
      <c r="M257" s="49"/>
      <c r="N257" s="49"/>
      <c r="O257" s="49"/>
      <c r="P257" s="49"/>
      <c r="Q257" s="49"/>
      <c r="R257" s="49"/>
      <c r="S257" s="21">
        <v>352000</v>
      </c>
      <c r="T257" s="49"/>
      <c r="U257" s="49"/>
      <c r="V257" s="49"/>
      <c r="W257" s="49">
        <v>100058.76</v>
      </c>
      <c r="X257" s="40">
        <f t="shared" si="17"/>
        <v>251941.24</v>
      </c>
    </row>
    <row r="258" spans="2:24" ht="31.5">
      <c r="B258" s="295"/>
      <c r="C258" s="295"/>
      <c r="D258" s="292"/>
      <c r="E258" s="29" t="s">
        <v>312</v>
      </c>
      <c r="F258" s="49"/>
      <c r="G258" s="18"/>
      <c r="H258" s="220"/>
      <c r="I258" s="249">
        <v>3132</v>
      </c>
      <c r="J258" s="21">
        <v>142000</v>
      </c>
      <c r="K258" s="49"/>
      <c r="L258" s="49"/>
      <c r="M258" s="49"/>
      <c r="N258" s="49"/>
      <c r="O258" s="49"/>
      <c r="P258" s="49"/>
      <c r="Q258" s="49"/>
      <c r="R258" s="49"/>
      <c r="S258" s="21">
        <v>142000</v>
      </c>
      <c r="T258" s="49"/>
      <c r="U258" s="49"/>
      <c r="V258" s="49"/>
      <c r="W258" s="49"/>
      <c r="X258" s="40">
        <f t="shared" si="17"/>
        <v>142000</v>
      </c>
    </row>
    <row r="259" spans="2:24" ht="31.5">
      <c r="B259" s="295"/>
      <c r="C259" s="295"/>
      <c r="D259" s="292"/>
      <c r="E259" s="29" t="s">
        <v>313</v>
      </c>
      <c r="F259" s="49"/>
      <c r="G259" s="18"/>
      <c r="H259" s="220"/>
      <c r="I259" s="249">
        <v>3132</v>
      </c>
      <c r="J259" s="21">
        <v>98000</v>
      </c>
      <c r="K259" s="49"/>
      <c r="L259" s="49"/>
      <c r="M259" s="49"/>
      <c r="N259" s="49"/>
      <c r="O259" s="49"/>
      <c r="P259" s="49"/>
      <c r="Q259" s="49"/>
      <c r="R259" s="49"/>
      <c r="S259" s="21">
        <v>98000</v>
      </c>
      <c r="T259" s="49"/>
      <c r="U259" s="49"/>
      <c r="V259" s="49"/>
      <c r="W259" s="49"/>
      <c r="X259" s="40">
        <f t="shared" si="17"/>
        <v>98000</v>
      </c>
    </row>
    <row r="260" spans="2:24" ht="47.25">
      <c r="B260" s="295"/>
      <c r="C260" s="295"/>
      <c r="D260" s="292"/>
      <c r="E260" s="29" t="s">
        <v>314</v>
      </c>
      <c r="F260" s="49"/>
      <c r="G260" s="18"/>
      <c r="H260" s="220"/>
      <c r="I260" s="249">
        <v>3132</v>
      </c>
      <c r="J260" s="21">
        <v>256000</v>
      </c>
      <c r="K260" s="49"/>
      <c r="L260" s="49"/>
      <c r="M260" s="49"/>
      <c r="N260" s="49"/>
      <c r="O260" s="49"/>
      <c r="P260" s="49"/>
      <c r="Q260" s="49"/>
      <c r="R260" s="49"/>
      <c r="S260" s="21">
        <v>256000</v>
      </c>
      <c r="T260" s="49"/>
      <c r="U260" s="49"/>
      <c r="V260" s="49"/>
      <c r="W260" s="49"/>
      <c r="X260" s="40">
        <f t="shared" si="17"/>
        <v>256000</v>
      </c>
    </row>
    <row r="261" spans="2:24" ht="47.25">
      <c r="B261" s="295"/>
      <c r="C261" s="295"/>
      <c r="D261" s="292"/>
      <c r="E261" s="29" t="s">
        <v>315</v>
      </c>
      <c r="F261" s="49"/>
      <c r="G261" s="18"/>
      <c r="H261" s="220"/>
      <c r="I261" s="249">
        <v>3132</v>
      </c>
      <c r="J261" s="21">
        <f>847000-547000</f>
        <v>300000</v>
      </c>
      <c r="K261" s="49"/>
      <c r="L261" s="49"/>
      <c r="M261" s="49"/>
      <c r="N261" s="49"/>
      <c r="O261" s="49"/>
      <c r="P261" s="49"/>
      <c r="Q261" s="49"/>
      <c r="R261" s="49"/>
      <c r="S261" s="21">
        <f>847000-547000</f>
        <v>300000</v>
      </c>
      <c r="T261" s="49"/>
      <c r="U261" s="49"/>
      <c r="V261" s="49"/>
      <c r="W261" s="49">
        <f>43324+196082.04</f>
        <v>239406.04</v>
      </c>
      <c r="X261" s="40">
        <f t="shared" si="17"/>
        <v>60593.95999999999</v>
      </c>
    </row>
    <row r="262" spans="2:24" ht="47.25">
      <c r="B262" s="295"/>
      <c r="C262" s="295"/>
      <c r="D262" s="292"/>
      <c r="E262" s="29" t="s">
        <v>316</v>
      </c>
      <c r="F262" s="49"/>
      <c r="G262" s="18"/>
      <c r="H262" s="220"/>
      <c r="I262" s="249">
        <v>3132</v>
      </c>
      <c r="J262" s="21">
        <v>247000</v>
      </c>
      <c r="K262" s="49"/>
      <c r="L262" s="49"/>
      <c r="M262" s="49"/>
      <c r="N262" s="49"/>
      <c r="O262" s="49"/>
      <c r="P262" s="49"/>
      <c r="Q262" s="49"/>
      <c r="R262" s="49"/>
      <c r="S262" s="21">
        <v>247000</v>
      </c>
      <c r="T262" s="49"/>
      <c r="U262" s="49"/>
      <c r="V262" s="49"/>
      <c r="W262" s="49">
        <v>169826.44</v>
      </c>
      <c r="X262" s="40">
        <f t="shared" si="17"/>
        <v>77173.56</v>
      </c>
    </row>
    <row r="263" spans="2:24" ht="31.5">
      <c r="B263" s="295"/>
      <c r="C263" s="295"/>
      <c r="D263" s="292"/>
      <c r="E263" s="29" t="s">
        <v>135</v>
      </c>
      <c r="F263" s="49"/>
      <c r="G263" s="18"/>
      <c r="H263" s="220"/>
      <c r="I263" s="249">
        <v>3132</v>
      </c>
      <c r="J263" s="21">
        <v>50000</v>
      </c>
      <c r="K263" s="49"/>
      <c r="L263" s="49"/>
      <c r="M263" s="49"/>
      <c r="N263" s="49"/>
      <c r="O263" s="49"/>
      <c r="P263" s="49"/>
      <c r="Q263" s="49"/>
      <c r="R263" s="49"/>
      <c r="S263" s="21"/>
      <c r="T263" s="49">
        <v>50000</v>
      </c>
      <c r="U263" s="49"/>
      <c r="V263" s="49"/>
      <c r="W263" s="49"/>
      <c r="X263" s="40">
        <f t="shared" si="17"/>
        <v>50000</v>
      </c>
    </row>
    <row r="264" spans="2:24" ht="31.5">
      <c r="B264" s="295"/>
      <c r="C264" s="295"/>
      <c r="D264" s="292"/>
      <c r="E264" s="29" t="s">
        <v>136</v>
      </c>
      <c r="F264" s="49"/>
      <c r="G264" s="18"/>
      <c r="H264" s="220"/>
      <c r="I264" s="249">
        <v>3132</v>
      </c>
      <c r="J264" s="21">
        <v>20000</v>
      </c>
      <c r="K264" s="49"/>
      <c r="L264" s="49"/>
      <c r="M264" s="49"/>
      <c r="N264" s="49"/>
      <c r="O264" s="49"/>
      <c r="P264" s="49"/>
      <c r="Q264" s="49"/>
      <c r="R264" s="49"/>
      <c r="S264" s="21"/>
      <c r="T264" s="49">
        <v>20000</v>
      </c>
      <c r="U264" s="49"/>
      <c r="V264" s="49"/>
      <c r="W264" s="49"/>
      <c r="X264" s="40">
        <f t="shared" si="17"/>
        <v>20000</v>
      </c>
    </row>
    <row r="265" spans="2:24" ht="31.5">
      <c r="B265" s="295"/>
      <c r="C265" s="295"/>
      <c r="D265" s="292"/>
      <c r="E265" s="29" t="s">
        <v>137</v>
      </c>
      <c r="F265" s="49"/>
      <c r="G265" s="18"/>
      <c r="H265" s="220"/>
      <c r="I265" s="249">
        <v>3132</v>
      </c>
      <c r="J265" s="21">
        <v>100000</v>
      </c>
      <c r="K265" s="49"/>
      <c r="L265" s="49"/>
      <c r="M265" s="49"/>
      <c r="N265" s="49"/>
      <c r="O265" s="49"/>
      <c r="P265" s="49"/>
      <c r="Q265" s="49"/>
      <c r="R265" s="49"/>
      <c r="S265" s="21"/>
      <c r="T265" s="49">
        <v>100000</v>
      </c>
      <c r="U265" s="49"/>
      <c r="V265" s="49"/>
      <c r="W265" s="49"/>
      <c r="X265" s="40">
        <f t="shared" si="17"/>
        <v>100000</v>
      </c>
    </row>
    <row r="266" spans="2:24" ht="31.5">
      <c r="B266" s="295"/>
      <c r="C266" s="295"/>
      <c r="D266" s="292"/>
      <c r="E266" s="29" t="s">
        <v>138</v>
      </c>
      <c r="F266" s="49"/>
      <c r="G266" s="18"/>
      <c r="H266" s="220"/>
      <c r="I266" s="249">
        <v>3132</v>
      </c>
      <c r="J266" s="21">
        <v>60000</v>
      </c>
      <c r="K266" s="49"/>
      <c r="L266" s="49"/>
      <c r="M266" s="49"/>
      <c r="N266" s="49"/>
      <c r="O266" s="49"/>
      <c r="P266" s="49"/>
      <c r="Q266" s="49"/>
      <c r="R266" s="49"/>
      <c r="S266" s="21"/>
      <c r="T266" s="49">
        <v>60000</v>
      </c>
      <c r="U266" s="49"/>
      <c r="V266" s="49"/>
      <c r="W266" s="49"/>
      <c r="X266" s="40">
        <f t="shared" si="17"/>
        <v>60000</v>
      </c>
    </row>
    <row r="267" spans="2:24" ht="47.25">
      <c r="B267" s="302"/>
      <c r="C267" s="302"/>
      <c r="D267" s="305"/>
      <c r="E267" s="29" t="s">
        <v>684</v>
      </c>
      <c r="F267" s="49">
        <v>100000</v>
      </c>
      <c r="G267" s="18">
        <f>100%-((F267-H267)/F267)</f>
        <v>1</v>
      </c>
      <c r="H267" s="220">
        <f>F267</f>
        <v>100000</v>
      </c>
      <c r="I267" s="249">
        <v>3132</v>
      </c>
      <c r="J267" s="21">
        <v>100000</v>
      </c>
      <c r="K267" s="49"/>
      <c r="L267" s="49"/>
      <c r="M267" s="49"/>
      <c r="N267" s="49"/>
      <c r="O267" s="49">
        <v>50000</v>
      </c>
      <c r="P267" s="49"/>
      <c r="Q267" s="49">
        <v>40000</v>
      </c>
      <c r="R267" s="49"/>
      <c r="S267" s="49">
        <v>10000</v>
      </c>
      <c r="T267" s="49"/>
      <c r="U267" s="49"/>
      <c r="V267" s="49"/>
      <c r="W267" s="49">
        <f>45213.6+2400+45213.6</f>
        <v>92827.2</v>
      </c>
      <c r="X267" s="40">
        <f t="shared" si="17"/>
        <v>7172.800000000003</v>
      </c>
    </row>
    <row r="268" spans="2:24" ht="15.75">
      <c r="B268" s="308" t="s">
        <v>110</v>
      </c>
      <c r="C268" s="308" t="s">
        <v>411</v>
      </c>
      <c r="D268" s="304" t="s">
        <v>534</v>
      </c>
      <c r="E268" s="31"/>
      <c r="F268" s="49"/>
      <c r="G268" s="18"/>
      <c r="H268" s="220"/>
      <c r="I268" s="249"/>
      <c r="J268" s="209">
        <f>SUM(J269:J280)</f>
        <v>674000</v>
      </c>
      <c r="K268" s="209">
        <f aca="true" t="shared" si="18" ref="K268:W268">SUM(K269:K280)</f>
        <v>0</v>
      </c>
      <c r="L268" s="209">
        <f t="shared" si="18"/>
        <v>0</v>
      </c>
      <c r="M268" s="209">
        <f t="shared" si="18"/>
        <v>0</v>
      </c>
      <c r="N268" s="209">
        <f t="shared" si="18"/>
        <v>0</v>
      </c>
      <c r="O268" s="209">
        <f t="shared" si="18"/>
        <v>45000</v>
      </c>
      <c r="P268" s="209">
        <f t="shared" si="18"/>
        <v>85000</v>
      </c>
      <c r="Q268" s="209">
        <f t="shared" si="18"/>
        <v>212500</v>
      </c>
      <c r="R268" s="209">
        <f t="shared" si="18"/>
        <v>147500</v>
      </c>
      <c r="S268" s="209">
        <f t="shared" si="18"/>
        <v>94000</v>
      </c>
      <c r="T268" s="209">
        <f t="shared" si="18"/>
        <v>0</v>
      </c>
      <c r="U268" s="209">
        <f t="shared" si="18"/>
        <v>0</v>
      </c>
      <c r="V268" s="209">
        <f t="shared" si="18"/>
        <v>90000</v>
      </c>
      <c r="W268" s="209">
        <f t="shared" si="18"/>
        <v>288285.8</v>
      </c>
      <c r="X268" s="184">
        <f t="shared" si="17"/>
        <v>295714.2</v>
      </c>
    </row>
    <row r="269" spans="2:24" ht="63">
      <c r="B269" s="325"/>
      <c r="C269" s="325"/>
      <c r="D269" s="292"/>
      <c r="E269" s="31" t="s">
        <v>274</v>
      </c>
      <c r="F269" s="49"/>
      <c r="G269" s="18"/>
      <c r="H269" s="220"/>
      <c r="I269" s="249">
        <v>3110</v>
      </c>
      <c r="J269" s="21">
        <v>82500</v>
      </c>
      <c r="K269" s="49"/>
      <c r="L269" s="49"/>
      <c r="M269" s="49"/>
      <c r="N269" s="49"/>
      <c r="O269" s="49"/>
      <c r="P269" s="49"/>
      <c r="Q269" s="49"/>
      <c r="R269" s="49">
        <v>82500</v>
      </c>
      <c r="S269" s="49"/>
      <c r="T269" s="49"/>
      <c r="U269" s="49"/>
      <c r="V269" s="49"/>
      <c r="W269" s="49">
        <v>75240</v>
      </c>
      <c r="X269" s="40">
        <f t="shared" si="17"/>
        <v>7260</v>
      </c>
    </row>
    <row r="270" spans="2:24" ht="47.25" hidden="1">
      <c r="B270" s="325"/>
      <c r="C270" s="325"/>
      <c r="D270" s="292"/>
      <c r="E270" s="31" t="s">
        <v>897</v>
      </c>
      <c r="F270" s="49"/>
      <c r="G270" s="18"/>
      <c r="H270" s="220"/>
      <c r="I270" s="249">
        <v>3110</v>
      </c>
      <c r="J270" s="21">
        <f>82500-60000-22500</f>
        <v>0</v>
      </c>
      <c r="K270" s="49"/>
      <c r="L270" s="49"/>
      <c r="M270" s="49"/>
      <c r="N270" s="49"/>
      <c r="O270" s="49"/>
      <c r="P270" s="49"/>
      <c r="Q270" s="49">
        <v>82500</v>
      </c>
      <c r="R270" s="49">
        <v>-60000</v>
      </c>
      <c r="S270" s="49">
        <v>-22500</v>
      </c>
      <c r="T270" s="49"/>
      <c r="U270" s="49"/>
      <c r="V270" s="49"/>
      <c r="W270" s="49"/>
      <c r="X270" s="40">
        <f t="shared" si="17"/>
        <v>0</v>
      </c>
    </row>
    <row r="271" spans="2:24" ht="47.25">
      <c r="B271" s="325"/>
      <c r="C271" s="325"/>
      <c r="D271" s="292"/>
      <c r="E271" s="31" t="s">
        <v>898</v>
      </c>
      <c r="F271" s="49">
        <v>80000</v>
      </c>
      <c r="G271" s="18">
        <f>100%-((F271-H271)/F271)</f>
        <v>1</v>
      </c>
      <c r="H271" s="220">
        <v>80000</v>
      </c>
      <c r="I271" s="249">
        <v>3132</v>
      </c>
      <c r="J271" s="21">
        <v>80000</v>
      </c>
      <c r="K271" s="49"/>
      <c r="L271" s="49"/>
      <c r="M271" s="49"/>
      <c r="N271" s="49"/>
      <c r="O271" s="49">
        <v>10000</v>
      </c>
      <c r="P271" s="49">
        <v>70000</v>
      </c>
      <c r="Q271" s="49">
        <f>40000-40000</f>
        <v>0</v>
      </c>
      <c r="R271" s="49">
        <f>30000-30000</f>
        <v>0</v>
      </c>
      <c r="S271" s="49"/>
      <c r="T271" s="49"/>
      <c r="U271" s="49"/>
      <c r="V271" s="49"/>
      <c r="W271" s="49">
        <f>816+79183.8</f>
        <v>79999.8</v>
      </c>
      <c r="X271" s="40">
        <f t="shared" si="17"/>
        <v>0.19999999999708962</v>
      </c>
    </row>
    <row r="272" spans="2:24" ht="31.5">
      <c r="B272" s="325"/>
      <c r="C272" s="325"/>
      <c r="D272" s="292"/>
      <c r="E272" s="31" t="s">
        <v>924</v>
      </c>
      <c r="F272" s="49"/>
      <c r="G272" s="18"/>
      <c r="H272" s="220"/>
      <c r="I272" s="249">
        <v>3132</v>
      </c>
      <c r="J272" s="21">
        <v>32000</v>
      </c>
      <c r="K272" s="49"/>
      <c r="L272" s="49"/>
      <c r="M272" s="49"/>
      <c r="N272" s="49"/>
      <c r="O272" s="49"/>
      <c r="P272" s="49"/>
      <c r="Q272" s="49"/>
      <c r="R272" s="49"/>
      <c r="S272" s="49">
        <v>32000</v>
      </c>
      <c r="T272" s="49"/>
      <c r="U272" s="49"/>
      <c r="V272" s="49"/>
      <c r="W272" s="49"/>
      <c r="X272" s="40">
        <f t="shared" si="17"/>
        <v>32000</v>
      </c>
    </row>
    <row r="273" spans="2:24" ht="63">
      <c r="B273" s="325"/>
      <c r="C273" s="325"/>
      <c r="D273" s="292"/>
      <c r="E273" s="31" t="s">
        <v>382</v>
      </c>
      <c r="F273" s="49"/>
      <c r="G273" s="18"/>
      <c r="H273" s="220"/>
      <c r="I273" s="249">
        <v>3110</v>
      </c>
      <c r="J273" s="21">
        <v>15000</v>
      </c>
      <c r="K273" s="49"/>
      <c r="L273" s="49"/>
      <c r="M273" s="49"/>
      <c r="N273" s="49"/>
      <c r="O273" s="49"/>
      <c r="P273" s="49">
        <v>15000</v>
      </c>
      <c r="Q273" s="49"/>
      <c r="R273" s="49"/>
      <c r="S273" s="49"/>
      <c r="T273" s="49"/>
      <c r="U273" s="49"/>
      <c r="V273" s="49"/>
      <c r="W273" s="49">
        <v>15000</v>
      </c>
      <c r="X273" s="40">
        <f t="shared" si="17"/>
        <v>0</v>
      </c>
    </row>
    <row r="274" spans="2:24" ht="63">
      <c r="B274" s="325"/>
      <c r="C274" s="325"/>
      <c r="D274" s="292"/>
      <c r="E274" s="31" t="s">
        <v>864</v>
      </c>
      <c r="F274" s="49"/>
      <c r="G274" s="18"/>
      <c r="H274" s="220"/>
      <c r="I274" s="249">
        <v>3132</v>
      </c>
      <c r="J274" s="21">
        <v>60000</v>
      </c>
      <c r="K274" s="49"/>
      <c r="L274" s="49"/>
      <c r="M274" s="49"/>
      <c r="N274" s="49"/>
      <c r="O274" s="49">
        <v>10000</v>
      </c>
      <c r="P274" s="49"/>
      <c r="Q274" s="49">
        <v>30000</v>
      </c>
      <c r="R274" s="49">
        <v>20000</v>
      </c>
      <c r="S274" s="49"/>
      <c r="T274" s="49"/>
      <c r="U274" s="49"/>
      <c r="V274" s="49"/>
      <c r="W274" s="49"/>
      <c r="X274" s="40">
        <f t="shared" si="17"/>
        <v>60000</v>
      </c>
    </row>
    <row r="275" spans="2:24" ht="63">
      <c r="B275" s="325"/>
      <c r="C275" s="325"/>
      <c r="D275" s="292"/>
      <c r="E275" s="31" t="s">
        <v>758</v>
      </c>
      <c r="F275" s="49"/>
      <c r="G275" s="18"/>
      <c r="H275" s="220"/>
      <c r="I275" s="249">
        <v>3132</v>
      </c>
      <c r="J275" s="21">
        <v>150000</v>
      </c>
      <c r="K275" s="49"/>
      <c r="L275" s="49"/>
      <c r="M275" s="49"/>
      <c r="N275" s="49"/>
      <c r="O275" s="49">
        <v>10000</v>
      </c>
      <c r="P275" s="49"/>
      <c r="Q275" s="49">
        <v>50000</v>
      </c>
      <c r="R275" s="49"/>
      <c r="S275" s="49"/>
      <c r="T275" s="49"/>
      <c r="U275" s="49"/>
      <c r="V275" s="49">
        <v>90000</v>
      </c>
      <c r="W275" s="49">
        <v>1071.6</v>
      </c>
      <c r="X275" s="40">
        <f t="shared" si="17"/>
        <v>58928.4</v>
      </c>
    </row>
    <row r="276" spans="2:24" ht="63" hidden="1">
      <c r="B276" s="325"/>
      <c r="C276" s="325"/>
      <c r="D276" s="292"/>
      <c r="E276" s="31" t="s">
        <v>759</v>
      </c>
      <c r="F276" s="49"/>
      <c r="G276" s="18"/>
      <c r="H276" s="220"/>
      <c r="I276" s="249">
        <v>3132</v>
      </c>
      <c r="J276" s="21">
        <f>150000+60000-117000-93000</f>
        <v>0</v>
      </c>
      <c r="K276" s="49"/>
      <c r="L276" s="49"/>
      <c r="M276" s="49"/>
      <c r="N276" s="49"/>
      <c r="O276" s="49">
        <v>10000</v>
      </c>
      <c r="P276" s="49"/>
      <c r="Q276" s="49">
        <v>50000</v>
      </c>
      <c r="R276" s="49">
        <f>45000+60000</f>
        <v>105000</v>
      </c>
      <c r="S276" s="49">
        <f>45000-117000-93000</f>
        <v>-165000</v>
      </c>
      <c r="T276" s="49"/>
      <c r="U276" s="49"/>
      <c r="V276" s="49"/>
      <c r="W276" s="49"/>
      <c r="X276" s="40">
        <f t="shared" si="17"/>
        <v>0</v>
      </c>
    </row>
    <row r="277" spans="2:24" ht="47.25">
      <c r="B277" s="325"/>
      <c r="C277" s="325"/>
      <c r="D277" s="292"/>
      <c r="E277" s="31" t="s">
        <v>772</v>
      </c>
      <c r="F277" s="49"/>
      <c r="G277" s="18"/>
      <c r="H277" s="220"/>
      <c r="I277" s="249">
        <v>3110</v>
      </c>
      <c r="J277" s="21">
        <v>92500</v>
      </c>
      <c r="K277" s="49"/>
      <c r="L277" s="49"/>
      <c r="M277" s="49"/>
      <c r="N277" s="49"/>
      <c r="O277" s="49"/>
      <c r="P277" s="49"/>
      <c r="Q277" s="49"/>
      <c r="R277" s="49"/>
      <c r="S277" s="49">
        <v>92500</v>
      </c>
      <c r="T277" s="49"/>
      <c r="U277" s="49"/>
      <c r="V277" s="49"/>
      <c r="W277" s="49"/>
      <c r="X277" s="40">
        <f t="shared" si="17"/>
        <v>92500</v>
      </c>
    </row>
    <row r="278" spans="2:24" ht="31.5">
      <c r="B278" s="325"/>
      <c r="C278" s="325"/>
      <c r="D278" s="292"/>
      <c r="E278" s="31" t="s">
        <v>773</v>
      </c>
      <c r="F278" s="49"/>
      <c r="G278" s="18"/>
      <c r="H278" s="220"/>
      <c r="I278" s="249">
        <v>3132</v>
      </c>
      <c r="J278" s="21">
        <v>45000</v>
      </c>
      <c r="K278" s="49"/>
      <c r="L278" s="49"/>
      <c r="M278" s="49"/>
      <c r="N278" s="49"/>
      <c r="O278" s="49"/>
      <c r="P278" s="49"/>
      <c r="Q278" s="49"/>
      <c r="R278" s="49"/>
      <c r="S278" s="49">
        <v>45000</v>
      </c>
      <c r="T278" s="49"/>
      <c r="U278" s="49"/>
      <c r="V278" s="49"/>
      <c r="W278" s="49"/>
      <c r="X278" s="40">
        <f t="shared" si="17"/>
        <v>45000</v>
      </c>
    </row>
    <row r="279" spans="2:24" ht="31.5">
      <c r="B279" s="325"/>
      <c r="C279" s="325"/>
      <c r="D279" s="292"/>
      <c r="E279" s="31" t="s">
        <v>926</v>
      </c>
      <c r="F279" s="49"/>
      <c r="G279" s="18"/>
      <c r="H279" s="220"/>
      <c r="I279" s="249">
        <v>3132</v>
      </c>
      <c r="J279" s="21">
        <v>112000</v>
      </c>
      <c r="K279" s="49"/>
      <c r="L279" s="49"/>
      <c r="M279" s="49"/>
      <c r="N279" s="49"/>
      <c r="O279" s="49"/>
      <c r="P279" s="49"/>
      <c r="Q279" s="49"/>
      <c r="R279" s="49"/>
      <c r="S279" s="49">
        <v>112000</v>
      </c>
      <c r="T279" s="49"/>
      <c r="U279" s="49"/>
      <c r="V279" s="49"/>
      <c r="W279" s="49">
        <v>111974.4</v>
      </c>
      <c r="X279" s="40">
        <f t="shared" si="17"/>
        <v>25.60000000000582</v>
      </c>
    </row>
    <row r="280" spans="2:24" ht="31.5">
      <c r="B280" s="309"/>
      <c r="C280" s="309"/>
      <c r="D280" s="305"/>
      <c r="E280" s="31" t="s">
        <v>151</v>
      </c>
      <c r="F280" s="49">
        <v>5000</v>
      </c>
      <c r="G280" s="18">
        <f>100%-((F280-H280)/F280)</f>
        <v>1</v>
      </c>
      <c r="H280" s="220">
        <f>F280</f>
        <v>5000</v>
      </c>
      <c r="I280" s="249">
        <v>3132</v>
      </c>
      <c r="J280" s="21">
        <v>5000</v>
      </c>
      <c r="K280" s="49"/>
      <c r="L280" s="49"/>
      <c r="M280" s="49"/>
      <c r="N280" s="49"/>
      <c r="O280" s="49">
        <v>5000</v>
      </c>
      <c r="P280" s="49"/>
      <c r="Q280" s="49"/>
      <c r="R280" s="49"/>
      <c r="S280" s="49"/>
      <c r="T280" s="49"/>
      <c r="U280" s="49"/>
      <c r="V280" s="49"/>
      <c r="W280" s="49">
        <v>5000</v>
      </c>
      <c r="X280" s="40">
        <f t="shared" si="17"/>
        <v>0</v>
      </c>
    </row>
    <row r="281" spans="2:24" ht="15.75" customHeight="1">
      <c r="B281" s="308" t="s">
        <v>111</v>
      </c>
      <c r="C281" s="308" t="s">
        <v>536</v>
      </c>
      <c r="D281" s="304" t="s">
        <v>535</v>
      </c>
      <c r="E281" s="31"/>
      <c r="F281" s="49"/>
      <c r="G281" s="18"/>
      <c r="H281" s="220"/>
      <c r="I281" s="249"/>
      <c r="J281" s="209">
        <f>SUM(J282:J283)</f>
        <v>150000</v>
      </c>
      <c r="K281" s="209">
        <f aca="true" t="shared" si="19" ref="K281:W281">SUM(K282:K283)</f>
        <v>0</v>
      </c>
      <c r="L281" s="209">
        <f t="shared" si="19"/>
        <v>0</v>
      </c>
      <c r="M281" s="209">
        <f t="shared" si="19"/>
        <v>0</v>
      </c>
      <c r="N281" s="209">
        <f t="shared" si="19"/>
        <v>0</v>
      </c>
      <c r="O281" s="209">
        <f t="shared" si="19"/>
        <v>0</v>
      </c>
      <c r="P281" s="209">
        <f t="shared" si="19"/>
        <v>35000</v>
      </c>
      <c r="Q281" s="209">
        <f t="shared" si="19"/>
        <v>45000</v>
      </c>
      <c r="R281" s="209">
        <f t="shared" si="19"/>
        <v>70000</v>
      </c>
      <c r="S281" s="209">
        <f t="shared" si="19"/>
        <v>0</v>
      </c>
      <c r="T281" s="209">
        <f t="shared" si="19"/>
        <v>0</v>
      </c>
      <c r="U281" s="209">
        <f t="shared" si="19"/>
        <v>0</v>
      </c>
      <c r="V281" s="209">
        <f t="shared" si="19"/>
        <v>0</v>
      </c>
      <c r="W281" s="209">
        <f t="shared" si="19"/>
        <v>80000</v>
      </c>
      <c r="X281" s="184">
        <f t="shared" si="17"/>
        <v>70000</v>
      </c>
    </row>
    <row r="282" spans="2:24" ht="31.5">
      <c r="B282" s="325"/>
      <c r="C282" s="325"/>
      <c r="D282" s="292"/>
      <c r="E282" s="72" t="s">
        <v>760</v>
      </c>
      <c r="F282" s="49">
        <v>167000</v>
      </c>
      <c r="G282" s="18">
        <f>100%-((F282-H282)/F282)</f>
        <v>1</v>
      </c>
      <c r="H282" s="220">
        <f>F282</f>
        <v>167000</v>
      </c>
      <c r="I282" s="249">
        <v>3110</v>
      </c>
      <c r="J282" s="21">
        <v>70000</v>
      </c>
      <c r="K282" s="49"/>
      <c r="L282" s="49"/>
      <c r="M282" s="49"/>
      <c r="N282" s="49"/>
      <c r="O282" s="49"/>
      <c r="P282" s="49"/>
      <c r="Q282" s="49"/>
      <c r="R282" s="49">
        <v>70000</v>
      </c>
      <c r="S282" s="49"/>
      <c r="T282" s="49"/>
      <c r="U282" s="49"/>
      <c r="V282" s="49"/>
      <c r="W282" s="49"/>
      <c r="X282" s="40">
        <f t="shared" si="17"/>
        <v>70000</v>
      </c>
    </row>
    <row r="283" spans="2:24" ht="15.75">
      <c r="B283" s="309"/>
      <c r="C283" s="309"/>
      <c r="D283" s="305"/>
      <c r="E283" s="72" t="s">
        <v>679</v>
      </c>
      <c r="F283" s="49"/>
      <c r="G283" s="18"/>
      <c r="H283" s="220"/>
      <c r="I283" s="249">
        <v>3110</v>
      </c>
      <c r="J283" s="21">
        <v>80000</v>
      </c>
      <c r="K283" s="49"/>
      <c r="L283" s="49"/>
      <c r="M283" s="49"/>
      <c r="N283" s="49"/>
      <c r="O283" s="49"/>
      <c r="P283" s="49">
        <v>35000</v>
      </c>
      <c r="Q283" s="49">
        <v>45000</v>
      </c>
      <c r="R283" s="49">
        <f>45000-45000</f>
        <v>0</v>
      </c>
      <c r="S283" s="49"/>
      <c r="T283" s="49"/>
      <c r="U283" s="49"/>
      <c r="V283" s="49"/>
      <c r="W283" s="49">
        <v>80000</v>
      </c>
      <c r="X283" s="40">
        <f t="shared" si="17"/>
        <v>0</v>
      </c>
    </row>
    <row r="284" spans="2:24" ht="15.75">
      <c r="B284" s="308" t="s">
        <v>538</v>
      </c>
      <c r="C284" s="308" t="s">
        <v>537</v>
      </c>
      <c r="D284" s="304" t="s">
        <v>885</v>
      </c>
      <c r="E284" s="47"/>
      <c r="F284" s="45"/>
      <c r="G284" s="46"/>
      <c r="H284" s="216"/>
      <c r="I284" s="249"/>
      <c r="J284" s="210">
        <f>SUM(J285:J287)</f>
        <v>415500</v>
      </c>
      <c r="K284" s="210">
        <f aca="true" t="shared" si="20" ref="K284:W284">SUM(K285:K287)</f>
        <v>0</v>
      </c>
      <c r="L284" s="210">
        <f t="shared" si="20"/>
        <v>0</v>
      </c>
      <c r="M284" s="210">
        <f t="shared" si="20"/>
        <v>0</v>
      </c>
      <c r="N284" s="210">
        <f t="shared" si="20"/>
        <v>0</v>
      </c>
      <c r="O284" s="210">
        <f t="shared" si="20"/>
        <v>110000</v>
      </c>
      <c r="P284" s="210">
        <f t="shared" si="20"/>
        <v>-4500</v>
      </c>
      <c r="Q284" s="210">
        <f t="shared" si="20"/>
        <v>190000</v>
      </c>
      <c r="R284" s="210">
        <f t="shared" si="20"/>
        <v>70000</v>
      </c>
      <c r="S284" s="210">
        <f t="shared" si="20"/>
        <v>0</v>
      </c>
      <c r="T284" s="210">
        <f t="shared" si="20"/>
        <v>0</v>
      </c>
      <c r="U284" s="210">
        <f t="shared" si="20"/>
        <v>0</v>
      </c>
      <c r="V284" s="210">
        <f t="shared" si="20"/>
        <v>50000</v>
      </c>
      <c r="W284" s="210">
        <f t="shared" si="20"/>
        <v>260190</v>
      </c>
      <c r="X284" s="184">
        <f t="shared" si="17"/>
        <v>105310</v>
      </c>
    </row>
    <row r="285" spans="2:24" ht="47.25">
      <c r="B285" s="325"/>
      <c r="C285" s="325"/>
      <c r="D285" s="292"/>
      <c r="E285" s="31" t="s">
        <v>761</v>
      </c>
      <c r="F285" s="49">
        <v>51000</v>
      </c>
      <c r="G285" s="18">
        <f>100%-((F285-H285)/F285)</f>
        <v>1</v>
      </c>
      <c r="H285" s="220">
        <f>F285</f>
        <v>51000</v>
      </c>
      <c r="I285" s="249">
        <v>3132</v>
      </c>
      <c r="J285" s="21">
        <v>50000</v>
      </c>
      <c r="K285" s="49"/>
      <c r="L285" s="49"/>
      <c r="M285" s="49"/>
      <c r="N285" s="49"/>
      <c r="O285" s="49">
        <v>10000</v>
      </c>
      <c r="P285" s="49"/>
      <c r="Q285" s="49">
        <v>20000</v>
      </c>
      <c r="R285" s="49">
        <v>20000</v>
      </c>
      <c r="S285" s="49"/>
      <c r="T285" s="49"/>
      <c r="U285" s="49"/>
      <c r="V285" s="49"/>
      <c r="W285" s="49">
        <f>4500+10500</f>
        <v>15000</v>
      </c>
      <c r="X285" s="40">
        <f t="shared" si="17"/>
        <v>35000</v>
      </c>
    </row>
    <row r="286" spans="2:24" ht="47.25">
      <c r="B286" s="325"/>
      <c r="C286" s="325"/>
      <c r="D286" s="292"/>
      <c r="E286" s="31" t="s">
        <v>142</v>
      </c>
      <c r="F286" s="49"/>
      <c r="G286" s="18"/>
      <c r="H286" s="220"/>
      <c r="I286" s="249">
        <v>3132</v>
      </c>
      <c r="J286" s="21">
        <v>320000</v>
      </c>
      <c r="K286" s="49"/>
      <c r="L286" s="49"/>
      <c r="M286" s="49"/>
      <c r="N286" s="49"/>
      <c r="O286" s="49">
        <v>100000</v>
      </c>
      <c r="P286" s="49">
        <v>-50000</v>
      </c>
      <c r="Q286" s="49">
        <f>120000+50000</f>
        <v>170000</v>
      </c>
      <c r="R286" s="49">
        <v>50000</v>
      </c>
      <c r="S286" s="49"/>
      <c r="T286" s="49"/>
      <c r="U286" s="49"/>
      <c r="V286" s="49">
        <v>50000</v>
      </c>
      <c r="W286" s="49">
        <f>2250+5250+215600</f>
        <v>223100</v>
      </c>
      <c r="X286" s="40">
        <f t="shared" si="17"/>
        <v>46900</v>
      </c>
    </row>
    <row r="287" spans="2:24" ht="63">
      <c r="B287" s="309"/>
      <c r="C287" s="309"/>
      <c r="D287" s="305"/>
      <c r="E287" s="31" t="s">
        <v>143</v>
      </c>
      <c r="F287" s="49"/>
      <c r="G287" s="18"/>
      <c r="H287" s="220"/>
      <c r="I287" s="249">
        <v>3110</v>
      </c>
      <c r="J287" s="21">
        <v>45500</v>
      </c>
      <c r="K287" s="49"/>
      <c r="L287" s="49"/>
      <c r="M287" s="49"/>
      <c r="N287" s="49"/>
      <c r="O287" s="49"/>
      <c r="P287" s="49">
        <v>45500</v>
      </c>
      <c r="Q287" s="49"/>
      <c r="R287" s="49"/>
      <c r="S287" s="49"/>
      <c r="T287" s="49"/>
      <c r="U287" s="49"/>
      <c r="V287" s="49"/>
      <c r="W287" s="49">
        <f>13900+8190</f>
        <v>22090</v>
      </c>
      <c r="X287" s="40">
        <f aca="true" t="shared" si="21" ref="X287:X351">K287+L287+M287+N287+O287+P287+Q287+R287+S287+T287-W287</f>
        <v>23410</v>
      </c>
    </row>
    <row r="288" spans="2:24" ht="15.75">
      <c r="B288" s="301" t="s">
        <v>539</v>
      </c>
      <c r="C288" s="301" t="s">
        <v>542</v>
      </c>
      <c r="D288" s="304" t="s">
        <v>112</v>
      </c>
      <c r="E288" s="70"/>
      <c r="F288" s="45"/>
      <c r="G288" s="46"/>
      <c r="H288" s="216"/>
      <c r="I288" s="249"/>
      <c r="J288" s="185">
        <f>SUM(J289:J295)</f>
        <v>508916.26</v>
      </c>
      <c r="K288" s="185">
        <f aca="true" t="shared" si="22" ref="K288:W288">SUM(K289:K295)</f>
        <v>0</v>
      </c>
      <c r="L288" s="185">
        <f t="shared" si="22"/>
        <v>97516.26</v>
      </c>
      <c r="M288" s="185">
        <f t="shared" si="22"/>
        <v>0</v>
      </c>
      <c r="N288" s="185">
        <f t="shared" si="22"/>
        <v>0</v>
      </c>
      <c r="O288" s="185">
        <f t="shared" si="22"/>
        <v>10000</v>
      </c>
      <c r="P288" s="185">
        <f t="shared" si="22"/>
        <v>0</v>
      </c>
      <c r="Q288" s="185">
        <f t="shared" si="22"/>
        <v>55000</v>
      </c>
      <c r="R288" s="185">
        <f t="shared" si="22"/>
        <v>61400</v>
      </c>
      <c r="S288" s="185">
        <f t="shared" si="22"/>
        <v>130000</v>
      </c>
      <c r="T288" s="185">
        <f t="shared" si="22"/>
        <v>0</v>
      </c>
      <c r="U288" s="185">
        <f t="shared" si="22"/>
        <v>0</v>
      </c>
      <c r="V288" s="185">
        <f t="shared" si="22"/>
        <v>155000</v>
      </c>
      <c r="W288" s="185">
        <f t="shared" si="22"/>
        <v>239476.76</v>
      </c>
      <c r="X288" s="184">
        <f t="shared" si="21"/>
        <v>114439.5</v>
      </c>
    </row>
    <row r="289" spans="2:24" ht="63">
      <c r="B289" s="295"/>
      <c r="C289" s="295"/>
      <c r="D289" s="292"/>
      <c r="E289" s="47" t="s">
        <v>430</v>
      </c>
      <c r="F289" s="45"/>
      <c r="G289" s="46"/>
      <c r="H289" s="216"/>
      <c r="I289" s="249">
        <v>3110</v>
      </c>
      <c r="J289" s="9">
        <v>13575</v>
      </c>
      <c r="K289" s="49"/>
      <c r="L289" s="9">
        <v>13575</v>
      </c>
      <c r="M289" s="49"/>
      <c r="N289" s="49"/>
      <c r="O289" s="49"/>
      <c r="P289" s="49"/>
      <c r="Q289" s="49"/>
      <c r="R289" s="49"/>
      <c r="S289" s="49"/>
      <c r="T289" s="49"/>
      <c r="U289" s="49"/>
      <c r="V289" s="49"/>
      <c r="W289" s="49">
        <v>13575</v>
      </c>
      <c r="X289" s="40">
        <f t="shared" si="21"/>
        <v>0</v>
      </c>
    </row>
    <row r="290" spans="2:24" ht="78.75">
      <c r="B290" s="295"/>
      <c r="C290" s="295"/>
      <c r="D290" s="292"/>
      <c r="E290" s="47" t="s">
        <v>264</v>
      </c>
      <c r="F290" s="45"/>
      <c r="G290" s="46"/>
      <c r="H290" s="216"/>
      <c r="I290" s="249">
        <v>3132</v>
      </c>
      <c r="J290" s="9">
        <v>4524</v>
      </c>
      <c r="K290" s="49"/>
      <c r="L290" s="9">
        <v>4524</v>
      </c>
      <c r="M290" s="49"/>
      <c r="N290" s="49"/>
      <c r="O290" s="49"/>
      <c r="P290" s="49"/>
      <c r="Q290" s="49"/>
      <c r="R290" s="49"/>
      <c r="S290" s="49"/>
      <c r="T290" s="49"/>
      <c r="U290" s="49"/>
      <c r="V290" s="49"/>
      <c r="W290" s="49">
        <v>4524</v>
      </c>
      <c r="X290" s="40">
        <f t="shared" si="21"/>
        <v>0</v>
      </c>
    </row>
    <row r="291" spans="2:24" ht="63">
      <c r="B291" s="295"/>
      <c r="C291" s="295"/>
      <c r="D291" s="292"/>
      <c r="E291" s="47" t="s">
        <v>265</v>
      </c>
      <c r="F291" s="45"/>
      <c r="G291" s="46"/>
      <c r="H291" s="216"/>
      <c r="I291" s="249">
        <v>3132</v>
      </c>
      <c r="J291" s="9">
        <v>51713.7</v>
      </c>
      <c r="K291" s="49"/>
      <c r="L291" s="9">
        <v>51713.7</v>
      </c>
      <c r="M291" s="49"/>
      <c r="N291" s="49"/>
      <c r="O291" s="49"/>
      <c r="P291" s="49"/>
      <c r="Q291" s="49"/>
      <c r="R291" s="49"/>
      <c r="S291" s="49"/>
      <c r="T291" s="49"/>
      <c r="U291" s="49"/>
      <c r="V291" s="49"/>
      <c r="W291" s="49">
        <v>51713.7</v>
      </c>
      <c r="X291" s="40">
        <f t="shared" si="21"/>
        <v>0</v>
      </c>
    </row>
    <row r="292" spans="2:24" ht="63">
      <c r="B292" s="295"/>
      <c r="C292" s="295"/>
      <c r="D292" s="292"/>
      <c r="E292" s="47" t="s">
        <v>249</v>
      </c>
      <c r="F292" s="45"/>
      <c r="G292" s="46"/>
      <c r="H292" s="216"/>
      <c r="I292" s="249">
        <v>3110</v>
      </c>
      <c r="J292" s="9">
        <v>27703.56</v>
      </c>
      <c r="K292" s="49"/>
      <c r="L292" s="9">
        <v>27703.56</v>
      </c>
      <c r="M292" s="49"/>
      <c r="N292" s="49"/>
      <c r="O292" s="49"/>
      <c r="P292" s="49"/>
      <c r="Q292" s="49"/>
      <c r="R292" s="49"/>
      <c r="S292" s="49"/>
      <c r="T292" s="49"/>
      <c r="U292" s="49"/>
      <c r="V292" s="49"/>
      <c r="W292" s="49">
        <v>27703.56</v>
      </c>
      <c r="X292" s="40">
        <f t="shared" si="21"/>
        <v>0</v>
      </c>
    </row>
    <row r="293" spans="2:24" ht="47.25">
      <c r="B293" s="295"/>
      <c r="C293" s="295"/>
      <c r="D293" s="292"/>
      <c r="E293" s="47" t="s">
        <v>201</v>
      </c>
      <c r="F293" s="45"/>
      <c r="G293" s="46"/>
      <c r="H293" s="216"/>
      <c r="I293" s="249">
        <v>3132</v>
      </c>
      <c r="J293" s="9">
        <f>150000+150000</f>
        <v>300000</v>
      </c>
      <c r="K293" s="49"/>
      <c r="L293" s="49"/>
      <c r="M293" s="49"/>
      <c r="N293" s="49"/>
      <c r="O293" s="49">
        <v>10000</v>
      </c>
      <c r="P293" s="49"/>
      <c r="Q293" s="49">
        <v>55000</v>
      </c>
      <c r="R293" s="49">
        <f>50000</f>
        <v>50000</v>
      </c>
      <c r="S293" s="49">
        <v>30000</v>
      </c>
      <c r="T293" s="49"/>
      <c r="U293" s="49"/>
      <c r="V293" s="49">
        <f>85000+100000-30000</f>
        <v>155000</v>
      </c>
      <c r="W293" s="49">
        <f>11902+130058.5</f>
        <v>141960.5</v>
      </c>
      <c r="X293" s="40">
        <f t="shared" si="21"/>
        <v>3039.5</v>
      </c>
    </row>
    <row r="294" spans="2:24" ht="47.25">
      <c r="B294" s="295"/>
      <c r="C294" s="295"/>
      <c r="D294" s="292"/>
      <c r="E294" s="47" t="s">
        <v>923</v>
      </c>
      <c r="F294" s="45"/>
      <c r="G294" s="46"/>
      <c r="H294" s="216"/>
      <c r="I294" s="249">
        <v>3132</v>
      </c>
      <c r="J294" s="9">
        <v>100000</v>
      </c>
      <c r="K294" s="49"/>
      <c r="L294" s="49"/>
      <c r="M294" s="49"/>
      <c r="N294" s="49"/>
      <c r="O294" s="49"/>
      <c r="P294" s="49"/>
      <c r="Q294" s="49"/>
      <c r="R294" s="49"/>
      <c r="S294" s="49">
        <v>100000</v>
      </c>
      <c r="T294" s="49"/>
      <c r="U294" s="49"/>
      <c r="V294" s="49"/>
      <c r="W294" s="49"/>
      <c r="X294" s="40">
        <f t="shared" si="21"/>
        <v>100000</v>
      </c>
    </row>
    <row r="295" spans="2:24" ht="47.25">
      <c r="B295" s="302"/>
      <c r="C295" s="302"/>
      <c r="D295" s="305"/>
      <c r="E295" s="47" t="s">
        <v>200</v>
      </c>
      <c r="F295" s="45"/>
      <c r="G295" s="46"/>
      <c r="H295" s="216"/>
      <c r="I295" s="249">
        <v>3110</v>
      </c>
      <c r="J295" s="9">
        <v>11400</v>
      </c>
      <c r="K295" s="49"/>
      <c r="L295" s="49"/>
      <c r="M295" s="49"/>
      <c r="N295" s="49"/>
      <c r="O295" s="49"/>
      <c r="P295" s="49"/>
      <c r="Q295" s="49"/>
      <c r="R295" s="49">
        <v>11400</v>
      </c>
      <c r="S295" s="49"/>
      <c r="T295" s="49"/>
      <c r="U295" s="49"/>
      <c r="V295" s="49"/>
      <c r="W295" s="49"/>
      <c r="X295" s="40">
        <f t="shared" si="21"/>
        <v>11400</v>
      </c>
    </row>
    <row r="296" spans="2:24" ht="15.75">
      <c r="B296" s="308" t="s">
        <v>540</v>
      </c>
      <c r="C296" s="308" t="s">
        <v>543</v>
      </c>
      <c r="D296" s="304" t="s">
        <v>123</v>
      </c>
      <c r="E296" s="78"/>
      <c r="F296" s="71"/>
      <c r="G296" s="79"/>
      <c r="H296" s="221"/>
      <c r="I296" s="249"/>
      <c r="J296" s="210">
        <f>SUM(J297:J300)</f>
        <v>808600</v>
      </c>
      <c r="K296" s="210">
        <f aca="true" t="shared" si="23" ref="K296:W296">SUM(K297:K300)</f>
        <v>0</v>
      </c>
      <c r="L296" s="210">
        <f t="shared" si="23"/>
        <v>0</v>
      </c>
      <c r="M296" s="210">
        <f t="shared" si="23"/>
        <v>0</v>
      </c>
      <c r="N296" s="210">
        <f t="shared" si="23"/>
        <v>0</v>
      </c>
      <c r="O296" s="210">
        <f t="shared" si="23"/>
        <v>278600</v>
      </c>
      <c r="P296" s="210">
        <f t="shared" si="23"/>
        <v>0</v>
      </c>
      <c r="Q296" s="210">
        <f t="shared" si="23"/>
        <v>340000</v>
      </c>
      <c r="R296" s="210">
        <f t="shared" si="23"/>
        <v>20000</v>
      </c>
      <c r="S296" s="210">
        <f t="shared" si="23"/>
        <v>115000</v>
      </c>
      <c r="T296" s="210">
        <f t="shared" si="23"/>
        <v>0</v>
      </c>
      <c r="U296" s="210">
        <f t="shared" si="23"/>
        <v>0</v>
      </c>
      <c r="V296" s="210">
        <f t="shared" si="23"/>
        <v>55000</v>
      </c>
      <c r="W296" s="210">
        <f t="shared" si="23"/>
        <v>372302.69999999995</v>
      </c>
      <c r="X296" s="184">
        <f t="shared" si="21"/>
        <v>381297.30000000005</v>
      </c>
    </row>
    <row r="297" spans="2:24" ht="47.25">
      <c r="B297" s="325"/>
      <c r="C297" s="325"/>
      <c r="D297" s="292"/>
      <c r="E297" s="31" t="s">
        <v>444</v>
      </c>
      <c r="F297" s="49">
        <v>50000</v>
      </c>
      <c r="G297" s="18">
        <f>100%-((F297-H297)/F297)</f>
        <v>1</v>
      </c>
      <c r="H297" s="220">
        <v>50000</v>
      </c>
      <c r="I297" s="249">
        <v>3132</v>
      </c>
      <c r="J297" s="21">
        <v>50000</v>
      </c>
      <c r="K297" s="49"/>
      <c r="L297" s="49"/>
      <c r="M297" s="49"/>
      <c r="N297" s="49"/>
      <c r="O297" s="49">
        <v>10000</v>
      </c>
      <c r="P297" s="49"/>
      <c r="Q297" s="49">
        <v>20000</v>
      </c>
      <c r="R297" s="49">
        <v>20000</v>
      </c>
      <c r="S297" s="49"/>
      <c r="T297" s="49"/>
      <c r="U297" s="49"/>
      <c r="V297" s="49"/>
      <c r="W297" s="49">
        <f>3650+13399.4</f>
        <v>17049.4</v>
      </c>
      <c r="X297" s="40">
        <f t="shared" si="21"/>
        <v>32950.6</v>
      </c>
    </row>
    <row r="298" spans="2:24" ht="47.25">
      <c r="B298" s="325"/>
      <c r="C298" s="325"/>
      <c r="D298" s="292"/>
      <c r="E298" s="31" t="s">
        <v>445</v>
      </c>
      <c r="F298" s="49"/>
      <c r="G298" s="18"/>
      <c r="H298" s="220"/>
      <c r="I298" s="249">
        <v>3132</v>
      </c>
      <c r="J298" s="21">
        <v>500000</v>
      </c>
      <c r="K298" s="49"/>
      <c r="L298" s="49"/>
      <c r="M298" s="49"/>
      <c r="N298" s="49"/>
      <c r="O298" s="49">
        <v>10000</v>
      </c>
      <c r="P298" s="49"/>
      <c r="Q298" s="49">
        <v>320000</v>
      </c>
      <c r="R298" s="49"/>
      <c r="S298" s="49">
        <v>115000</v>
      </c>
      <c r="T298" s="49"/>
      <c r="U298" s="49"/>
      <c r="V298" s="49">
        <v>55000</v>
      </c>
      <c r="W298" s="49">
        <f>13570+181628.3</f>
        <v>195198.3</v>
      </c>
      <c r="X298" s="40">
        <f t="shared" si="21"/>
        <v>249801.7</v>
      </c>
    </row>
    <row r="299" spans="2:24" ht="47.25">
      <c r="B299" s="325"/>
      <c r="C299" s="325"/>
      <c r="D299" s="292"/>
      <c r="E299" s="31" t="s">
        <v>58</v>
      </c>
      <c r="F299" s="49"/>
      <c r="G299" s="18"/>
      <c r="H299" s="220"/>
      <c r="I299" s="249">
        <v>3110</v>
      </c>
      <c r="J299" s="21">
        <v>5700</v>
      </c>
      <c r="K299" s="49"/>
      <c r="L299" s="49"/>
      <c r="M299" s="49"/>
      <c r="N299" s="49"/>
      <c r="O299" s="49">
        <v>5700</v>
      </c>
      <c r="P299" s="49"/>
      <c r="Q299" s="49"/>
      <c r="R299" s="49"/>
      <c r="S299" s="49"/>
      <c r="T299" s="49"/>
      <c r="U299" s="49"/>
      <c r="V299" s="49"/>
      <c r="W299" s="49"/>
      <c r="X299" s="40">
        <f t="shared" si="21"/>
        <v>5700</v>
      </c>
    </row>
    <row r="300" spans="2:24" ht="47.25">
      <c r="B300" s="309"/>
      <c r="C300" s="309"/>
      <c r="D300" s="305"/>
      <c r="E300" s="31" t="s">
        <v>59</v>
      </c>
      <c r="F300" s="49">
        <v>252900</v>
      </c>
      <c r="G300" s="18">
        <f>100%-((F300-H300)/F300)</f>
        <v>1</v>
      </c>
      <c r="H300" s="220">
        <f>F300</f>
        <v>252900</v>
      </c>
      <c r="I300" s="249">
        <v>3110</v>
      </c>
      <c r="J300" s="49">
        <v>252900</v>
      </c>
      <c r="K300" s="49"/>
      <c r="L300" s="49"/>
      <c r="M300" s="49"/>
      <c r="N300" s="49"/>
      <c r="O300" s="49">
        <v>252900</v>
      </c>
      <c r="P300" s="49"/>
      <c r="Q300" s="49"/>
      <c r="R300" s="49"/>
      <c r="S300" s="49"/>
      <c r="T300" s="49"/>
      <c r="U300" s="49"/>
      <c r="V300" s="49"/>
      <c r="W300" s="49">
        <f>91800+68255</f>
        <v>160055</v>
      </c>
      <c r="X300" s="40">
        <f t="shared" si="21"/>
        <v>92845</v>
      </c>
    </row>
    <row r="301" spans="2:24" ht="15.75">
      <c r="B301" s="301" t="s">
        <v>541</v>
      </c>
      <c r="C301" s="301" t="s">
        <v>411</v>
      </c>
      <c r="D301" s="304" t="s">
        <v>410</v>
      </c>
      <c r="E301" s="70"/>
      <c r="F301" s="45"/>
      <c r="G301" s="46"/>
      <c r="H301" s="216"/>
      <c r="I301" s="249"/>
      <c r="J301" s="185">
        <f>SUM(J302:J323)</f>
        <v>2479958.11</v>
      </c>
      <c r="K301" s="185">
        <f aca="true" t="shared" si="24" ref="K301:W301">SUM(K302:K323)</f>
        <v>0</v>
      </c>
      <c r="L301" s="185">
        <f t="shared" si="24"/>
        <v>137358.11</v>
      </c>
      <c r="M301" s="185">
        <f t="shared" si="24"/>
        <v>0</v>
      </c>
      <c r="N301" s="185">
        <f t="shared" si="24"/>
        <v>7700</v>
      </c>
      <c r="O301" s="185">
        <f t="shared" si="24"/>
        <v>120000</v>
      </c>
      <c r="P301" s="185">
        <f t="shared" si="24"/>
        <v>-10000</v>
      </c>
      <c r="Q301" s="185">
        <f t="shared" si="24"/>
        <v>590000</v>
      </c>
      <c r="R301" s="185">
        <f t="shared" si="24"/>
        <v>597900</v>
      </c>
      <c r="S301" s="185">
        <f t="shared" si="24"/>
        <v>797000</v>
      </c>
      <c r="T301" s="185">
        <f t="shared" si="24"/>
        <v>20000</v>
      </c>
      <c r="U301" s="185">
        <f t="shared" si="24"/>
        <v>0</v>
      </c>
      <c r="V301" s="185">
        <f t="shared" si="24"/>
        <v>220000</v>
      </c>
      <c r="W301" s="185">
        <f t="shared" si="24"/>
        <v>1123366.9</v>
      </c>
      <c r="X301" s="184">
        <f t="shared" si="21"/>
        <v>1136591.21</v>
      </c>
    </row>
    <row r="302" spans="2:24" ht="94.5">
      <c r="B302" s="295"/>
      <c r="C302" s="295"/>
      <c r="D302" s="292"/>
      <c r="E302" s="267" t="s">
        <v>747</v>
      </c>
      <c r="F302" s="45"/>
      <c r="G302" s="46"/>
      <c r="H302" s="216"/>
      <c r="I302" s="249">
        <v>3110</v>
      </c>
      <c r="J302" s="9">
        <v>13223</v>
      </c>
      <c r="K302" s="49"/>
      <c r="L302" s="9">
        <v>13223</v>
      </c>
      <c r="M302" s="49"/>
      <c r="N302" s="49"/>
      <c r="O302" s="49"/>
      <c r="P302" s="49"/>
      <c r="Q302" s="49"/>
      <c r="R302" s="49"/>
      <c r="S302" s="49"/>
      <c r="T302" s="49"/>
      <c r="U302" s="49"/>
      <c r="V302" s="49"/>
      <c r="W302" s="49">
        <v>13223</v>
      </c>
      <c r="X302" s="40">
        <f t="shared" si="21"/>
        <v>0</v>
      </c>
    </row>
    <row r="303" spans="2:24" ht="63">
      <c r="B303" s="295"/>
      <c r="C303" s="295"/>
      <c r="D303" s="292"/>
      <c r="E303" s="267" t="s">
        <v>466</v>
      </c>
      <c r="F303" s="45"/>
      <c r="G303" s="46"/>
      <c r="H303" s="216"/>
      <c r="I303" s="249">
        <v>3132</v>
      </c>
      <c r="J303" s="9">
        <v>44244.53</v>
      </c>
      <c r="K303" s="49"/>
      <c r="L303" s="9">
        <v>44244.53</v>
      </c>
      <c r="M303" s="49"/>
      <c r="N303" s="49"/>
      <c r="O303" s="49"/>
      <c r="P303" s="49"/>
      <c r="Q303" s="49"/>
      <c r="R303" s="49"/>
      <c r="S303" s="49"/>
      <c r="T303" s="49"/>
      <c r="U303" s="49"/>
      <c r="V303" s="49"/>
      <c r="W303" s="49">
        <v>44244.53</v>
      </c>
      <c r="X303" s="40">
        <f t="shared" si="21"/>
        <v>0</v>
      </c>
    </row>
    <row r="304" spans="2:24" ht="63">
      <c r="B304" s="295"/>
      <c r="C304" s="295"/>
      <c r="D304" s="292"/>
      <c r="E304" s="267" t="s">
        <v>467</v>
      </c>
      <c r="F304" s="45"/>
      <c r="G304" s="46"/>
      <c r="H304" s="216"/>
      <c r="I304" s="249">
        <v>3132</v>
      </c>
      <c r="J304" s="9">
        <v>3140.76</v>
      </c>
      <c r="K304" s="49"/>
      <c r="L304" s="9">
        <v>3140.76</v>
      </c>
      <c r="M304" s="49"/>
      <c r="N304" s="49"/>
      <c r="O304" s="49"/>
      <c r="P304" s="49"/>
      <c r="Q304" s="49"/>
      <c r="R304" s="49"/>
      <c r="S304" s="49"/>
      <c r="T304" s="49"/>
      <c r="U304" s="49"/>
      <c r="V304" s="49"/>
      <c r="W304" s="49">
        <v>3140.76</v>
      </c>
      <c r="X304" s="40">
        <f t="shared" si="21"/>
        <v>0</v>
      </c>
    </row>
    <row r="305" spans="2:24" ht="63">
      <c r="B305" s="295"/>
      <c r="C305" s="295"/>
      <c r="D305" s="292"/>
      <c r="E305" s="267" t="s">
        <v>468</v>
      </c>
      <c r="F305" s="45"/>
      <c r="G305" s="46"/>
      <c r="H305" s="216"/>
      <c r="I305" s="249">
        <v>3132</v>
      </c>
      <c r="J305" s="9">
        <v>5796.7</v>
      </c>
      <c r="K305" s="49"/>
      <c r="L305" s="9">
        <v>5796.7</v>
      </c>
      <c r="M305" s="49"/>
      <c r="N305" s="49"/>
      <c r="O305" s="49"/>
      <c r="P305" s="49"/>
      <c r="Q305" s="49"/>
      <c r="R305" s="49"/>
      <c r="S305" s="49"/>
      <c r="T305" s="49"/>
      <c r="U305" s="49"/>
      <c r="V305" s="49"/>
      <c r="W305" s="49">
        <v>5796.7</v>
      </c>
      <c r="X305" s="40">
        <f t="shared" si="21"/>
        <v>0</v>
      </c>
    </row>
    <row r="306" spans="2:24" ht="63">
      <c r="B306" s="295"/>
      <c r="C306" s="295"/>
      <c r="D306" s="292"/>
      <c r="E306" s="267" t="s">
        <v>469</v>
      </c>
      <c r="F306" s="45"/>
      <c r="G306" s="46"/>
      <c r="H306" s="216"/>
      <c r="I306" s="249">
        <v>3132</v>
      </c>
      <c r="J306" s="9">
        <v>8984.22</v>
      </c>
      <c r="K306" s="49"/>
      <c r="L306" s="9">
        <v>8984.22</v>
      </c>
      <c r="M306" s="49"/>
      <c r="N306" s="49"/>
      <c r="O306" s="49"/>
      <c r="P306" s="49"/>
      <c r="Q306" s="49"/>
      <c r="R306" s="49"/>
      <c r="S306" s="49"/>
      <c r="T306" s="49"/>
      <c r="U306" s="49"/>
      <c r="V306" s="49"/>
      <c r="W306" s="49">
        <v>8984.22</v>
      </c>
      <c r="X306" s="40">
        <f t="shared" si="21"/>
        <v>0</v>
      </c>
    </row>
    <row r="307" spans="2:24" ht="47.25">
      <c r="B307" s="295"/>
      <c r="C307" s="295"/>
      <c r="D307" s="292"/>
      <c r="E307" s="267" t="s">
        <v>544</v>
      </c>
      <c r="F307" s="45"/>
      <c r="G307" s="46"/>
      <c r="H307" s="216"/>
      <c r="I307" s="249">
        <v>3132</v>
      </c>
      <c r="J307" s="9">
        <v>13955.4</v>
      </c>
      <c r="K307" s="49"/>
      <c r="L307" s="9">
        <v>13955.4</v>
      </c>
      <c r="M307" s="49"/>
      <c r="N307" s="49"/>
      <c r="O307" s="49"/>
      <c r="P307" s="49"/>
      <c r="Q307" s="49"/>
      <c r="R307" s="49"/>
      <c r="S307" s="49"/>
      <c r="T307" s="49"/>
      <c r="U307" s="49"/>
      <c r="V307" s="49"/>
      <c r="W307" s="49">
        <v>13955.4</v>
      </c>
      <c r="X307" s="40">
        <f t="shared" si="21"/>
        <v>0</v>
      </c>
    </row>
    <row r="308" spans="2:24" ht="63">
      <c r="B308" s="295"/>
      <c r="C308" s="295"/>
      <c r="D308" s="292"/>
      <c r="E308" s="267" t="s">
        <v>545</v>
      </c>
      <c r="F308" s="45"/>
      <c r="G308" s="46"/>
      <c r="H308" s="216"/>
      <c r="I308" s="249">
        <v>3132</v>
      </c>
      <c r="J308" s="9">
        <v>4500</v>
      </c>
      <c r="K308" s="49"/>
      <c r="L308" s="9">
        <v>4500</v>
      </c>
      <c r="M308" s="49"/>
      <c r="N308" s="49"/>
      <c r="O308" s="49"/>
      <c r="P308" s="49"/>
      <c r="Q308" s="49"/>
      <c r="R308" s="49"/>
      <c r="S308" s="49"/>
      <c r="T308" s="49"/>
      <c r="U308" s="49"/>
      <c r="V308" s="49"/>
      <c r="W308" s="49">
        <v>4500</v>
      </c>
      <c r="X308" s="40">
        <f t="shared" si="21"/>
        <v>0</v>
      </c>
    </row>
    <row r="309" spans="2:24" ht="63">
      <c r="B309" s="295"/>
      <c r="C309" s="295"/>
      <c r="D309" s="292"/>
      <c r="E309" s="267" t="s">
        <v>546</v>
      </c>
      <c r="F309" s="45"/>
      <c r="G309" s="46"/>
      <c r="H309" s="216"/>
      <c r="I309" s="249">
        <v>3132</v>
      </c>
      <c r="J309" s="9">
        <v>43513.5</v>
      </c>
      <c r="K309" s="49"/>
      <c r="L309" s="9">
        <v>43513.5</v>
      </c>
      <c r="M309" s="49"/>
      <c r="N309" s="49"/>
      <c r="O309" s="49"/>
      <c r="P309" s="49"/>
      <c r="Q309" s="49"/>
      <c r="R309" s="49"/>
      <c r="S309" s="49"/>
      <c r="T309" s="49"/>
      <c r="U309" s="49"/>
      <c r="V309" s="49"/>
      <c r="W309" s="49">
        <v>43513.5</v>
      </c>
      <c r="X309" s="40">
        <f t="shared" si="21"/>
        <v>0</v>
      </c>
    </row>
    <row r="310" spans="2:24" ht="78.75">
      <c r="B310" s="295"/>
      <c r="C310" s="295"/>
      <c r="D310" s="292"/>
      <c r="E310" s="48" t="s">
        <v>295</v>
      </c>
      <c r="F310" s="45"/>
      <c r="G310" s="46"/>
      <c r="H310" s="216"/>
      <c r="I310" s="249">
        <v>3110</v>
      </c>
      <c r="J310" s="9">
        <v>7700</v>
      </c>
      <c r="K310" s="49"/>
      <c r="L310" s="49"/>
      <c r="M310" s="49"/>
      <c r="N310" s="49">
        <v>7700</v>
      </c>
      <c r="O310" s="49"/>
      <c r="P310" s="49"/>
      <c r="Q310" s="49"/>
      <c r="R310" s="49"/>
      <c r="S310" s="49"/>
      <c r="T310" s="49"/>
      <c r="U310" s="49"/>
      <c r="V310" s="49"/>
      <c r="W310" s="49">
        <v>7700</v>
      </c>
      <c r="X310" s="40">
        <f t="shared" si="21"/>
        <v>0</v>
      </c>
    </row>
    <row r="311" spans="2:24" ht="47.25">
      <c r="B311" s="295"/>
      <c r="C311" s="295"/>
      <c r="D311" s="292"/>
      <c r="E311" s="48" t="s">
        <v>432</v>
      </c>
      <c r="F311" s="45"/>
      <c r="G311" s="46"/>
      <c r="H311" s="216"/>
      <c r="I311" s="249">
        <v>3110</v>
      </c>
      <c r="J311" s="9">
        <v>20000</v>
      </c>
      <c r="K311" s="49"/>
      <c r="L311" s="49"/>
      <c r="M311" s="49"/>
      <c r="N311" s="49"/>
      <c r="O311" s="49"/>
      <c r="P311" s="49"/>
      <c r="Q311" s="49"/>
      <c r="R311" s="49"/>
      <c r="S311" s="49"/>
      <c r="T311" s="49">
        <v>20000</v>
      </c>
      <c r="U311" s="49"/>
      <c r="V311" s="49"/>
      <c r="W311" s="49"/>
      <c r="X311" s="40">
        <f t="shared" si="21"/>
        <v>20000</v>
      </c>
    </row>
    <row r="312" spans="2:24" ht="63">
      <c r="B312" s="295"/>
      <c r="C312" s="295"/>
      <c r="D312" s="292"/>
      <c r="E312" s="48" t="s">
        <v>899</v>
      </c>
      <c r="F312" s="45"/>
      <c r="G312" s="46"/>
      <c r="H312" s="216"/>
      <c r="I312" s="249">
        <v>3132</v>
      </c>
      <c r="J312" s="9">
        <f>100000-43000</f>
        <v>57000</v>
      </c>
      <c r="K312" s="49"/>
      <c r="L312" s="49"/>
      <c r="M312" s="49"/>
      <c r="N312" s="49"/>
      <c r="O312" s="49">
        <v>40000</v>
      </c>
      <c r="P312" s="49"/>
      <c r="Q312" s="49">
        <v>60000</v>
      </c>
      <c r="R312" s="49"/>
      <c r="S312" s="49">
        <v>-43000</v>
      </c>
      <c r="T312" s="49"/>
      <c r="U312" s="49"/>
      <c r="V312" s="49"/>
      <c r="W312" s="49">
        <f>16188+37772+540</f>
        <v>54500</v>
      </c>
      <c r="X312" s="40">
        <f t="shared" si="21"/>
        <v>2500</v>
      </c>
    </row>
    <row r="313" spans="2:24" ht="47.25">
      <c r="B313" s="295"/>
      <c r="C313" s="295"/>
      <c r="D313" s="292"/>
      <c r="E313" s="48" t="s">
        <v>900</v>
      </c>
      <c r="F313" s="45"/>
      <c r="G313" s="46"/>
      <c r="H313" s="216"/>
      <c r="I313" s="249">
        <v>3132</v>
      </c>
      <c r="J313" s="9">
        <v>40000</v>
      </c>
      <c r="K313" s="49"/>
      <c r="L313" s="49"/>
      <c r="M313" s="49"/>
      <c r="N313" s="49"/>
      <c r="O313" s="49">
        <v>40000</v>
      </c>
      <c r="P313" s="49"/>
      <c r="Q313" s="49"/>
      <c r="R313" s="49"/>
      <c r="S313" s="49"/>
      <c r="T313" s="49"/>
      <c r="U313" s="49"/>
      <c r="V313" s="49"/>
      <c r="W313" s="49">
        <f>396+29055.6</f>
        <v>29451.6</v>
      </c>
      <c r="X313" s="40">
        <f t="shared" si="21"/>
        <v>10548.400000000001</v>
      </c>
    </row>
    <row r="314" spans="2:24" ht="47.25">
      <c r="B314" s="295"/>
      <c r="C314" s="295"/>
      <c r="D314" s="292"/>
      <c r="E314" s="67" t="s">
        <v>901</v>
      </c>
      <c r="F314" s="49">
        <v>708000</v>
      </c>
      <c r="G314" s="18">
        <f>100%-((F314-H314)/F314)</f>
        <v>1</v>
      </c>
      <c r="H314" s="220">
        <v>708000</v>
      </c>
      <c r="I314" s="249">
        <v>3132</v>
      </c>
      <c r="J314" s="21">
        <v>580000</v>
      </c>
      <c r="K314" s="49"/>
      <c r="L314" s="49"/>
      <c r="M314" s="49"/>
      <c r="N314" s="49"/>
      <c r="O314" s="49"/>
      <c r="P314" s="49"/>
      <c r="Q314" s="49"/>
      <c r="R314" s="49">
        <f>180000+200000</f>
        <v>380000</v>
      </c>
      <c r="S314" s="49">
        <f>400000-200000</f>
        <v>200000</v>
      </c>
      <c r="T314" s="49"/>
      <c r="U314" s="49"/>
      <c r="V314" s="49"/>
      <c r="W314" s="49">
        <f>11639.48-11639.48+456917.3</f>
        <v>456917.3</v>
      </c>
      <c r="X314" s="40">
        <f t="shared" si="21"/>
        <v>123082.70000000001</v>
      </c>
    </row>
    <row r="315" spans="2:24" ht="47.25">
      <c r="B315" s="295"/>
      <c r="C315" s="295"/>
      <c r="D315" s="292"/>
      <c r="E315" s="31" t="s">
        <v>384</v>
      </c>
      <c r="F315" s="49">
        <v>500000</v>
      </c>
      <c r="G315" s="18">
        <f>100%-((F315-H315)/F315)</f>
        <v>1</v>
      </c>
      <c r="H315" s="220">
        <f>F315</f>
        <v>500000</v>
      </c>
      <c r="I315" s="249">
        <v>3132</v>
      </c>
      <c r="J315" s="21">
        <v>500000</v>
      </c>
      <c r="K315" s="49"/>
      <c r="L315" s="49"/>
      <c r="M315" s="49"/>
      <c r="N315" s="49"/>
      <c r="O315" s="49">
        <v>10000</v>
      </c>
      <c r="P315" s="49"/>
      <c r="Q315" s="49">
        <v>170000</v>
      </c>
      <c r="R315" s="49">
        <v>100000</v>
      </c>
      <c r="S315" s="49"/>
      <c r="T315" s="49"/>
      <c r="U315" s="49"/>
      <c r="V315" s="49">
        <v>220000</v>
      </c>
      <c r="W315" s="49">
        <f>7121.52+1818.9+11247.9+9429+10834-11247.9+1320+11639.48</f>
        <v>42162.899999999994</v>
      </c>
      <c r="X315" s="40">
        <f t="shared" si="21"/>
        <v>237837.1</v>
      </c>
    </row>
    <row r="316" spans="2:24" ht="78.75">
      <c r="B316" s="295"/>
      <c r="C316" s="295"/>
      <c r="D316" s="292"/>
      <c r="E316" s="31" t="s">
        <v>194</v>
      </c>
      <c r="F316" s="49"/>
      <c r="G316" s="18"/>
      <c r="H316" s="220"/>
      <c r="I316" s="249">
        <v>3110</v>
      </c>
      <c r="J316" s="21">
        <v>22900</v>
      </c>
      <c r="K316" s="49"/>
      <c r="L316" s="49"/>
      <c r="M316" s="49"/>
      <c r="N316" s="49"/>
      <c r="O316" s="49"/>
      <c r="P316" s="49"/>
      <c r="Q316" s="49"/>
      <c r="R316" s="49">
        <v>22900</v>
      </c>
      <c r="S316" s="49"/>
      <c r="T316" s="49"/>
      <c r="U316" s="49"/>
      <c r="V316" s="49"/>
      <c r="W316" s="49"/>
      <c r="X316" s="40">
        <f t="shared" si="21"/>
        <v>22900</v>
      </c>
    </row>
    <row r="317" spans="2:24" ht="31.5" hidden="1">
      <c r="B317" s="295"/>
      <c r="C317" s="295"/>
      <c r="D317" s="292"/>
      <c r="E317" s="31" t="s">
        <v>195</v>
      </c>
      <c r="F317" s="49"/>
      <c r="G317" s="18"/>
      <c r="H317" s="220"/>
      <c r="I317" s="249">
        <v>3132</v>
      </c>
      <c r="J317" s="21">
        <f>150000-150000</f>
        <v>0</v>
      </c>
      <c r="K317" s="49"/>
      <c r="L317" s="49"/>
      <c r="M317" s="49"/>
      <c r="N317" s="49"/>
      <c r="O317" s="49">
        <v>10000</v>
      </c>
      <c r="P317" s="49">
        <v>-10000</v>
      </c>
      <c r="Q317" s="49">
        <f>70000-70000</f>
        <v>0</v>
      </c>
      <c r="R317" s="49"/>
      <c r="S317" s="49">
        <f>70000-70000</f>
        <v>0</v>
      </c>
      <c r="T317" s="49"/>
      <c r="U317" s="49"/>
      <c r="V317" s="49"/>
      <c r="W317" s="49"/>
      <c r="X317" s="40">
        <f t="shared" si="21"/>
        <v>0</v>
      </c>
    </row>
    <row r="318" spans="2:24" ht="31.5">
      <c r="B318" s="295"/>
      <c r="C318" s="295"/>
      <c r="D318" s="292"/>
      <c r="E318" s="31" t="s">
        <v>196</v>
      </c>
      <c r="F318" s="49"/>
      <c r="G318" s="18"/>
      <c r="H318" s="220"/>
      <c r="I318" s="249">
        <v>3132</v>
      </c>
      <c r="J318" s="21">
        <v>150000</v>
      </c>
      <c r="K318" s="49"/>
      <c r="L318" s="49"/>
      <c r="M318" s="49"/>
      <c r="N318" s="49"/>
      <c r="O318" s="49">
        <v>10000</v>
      </c>
      <c r="P318" s="49"/>
      <c r="Q318" s="49">
        <v>70000</v>
      </c>
      <c r="R318" s="49"/>
      <c r="S318" s="49">
        <v>70000</v>
      </c>
      <c r="T318" s="49"/>
      <c r="U318" s="49"/>
      <c r="V318" s="49"/>
      <c r="W318" s="49">
        <f>9581.39+1320+69549.31</f>
        <v>80450.7</v>
      </c>
      <c r="X318" s="40">
        <f t="shared" si="21"/>
        <v>69549.3</v>
      </c>
    </row>
    <row r="319" spans="2:24" ht="31.5">
      <c r="B319" s="295"/>
      <c r="C319" s="295"/>
      <c r="D319" s="292"/>
      <c r="E319" s="31" t="s">
        <v>197</v>
      </c>
      <c r="F319" s="49"/>
      <c r="G319" s="18"/>
      <c r="H319" s="220"/>
      <c r="I319" s="249">
        <v>3110</v>
      </c>
      <c r="J319" s="21">
        <v>50000</v>
      </c>
      <c r="K319" s="49"/>
      <c r="L319" s="49"/>
      <c r="M319" s="49"/>
      <c r="N319" s="49"/>
      <c r="O319" s="49"/>
      <c r="P319" s="49"/>
      <c r="Q319" s="49"/>
      <c r="R319" s="49">
        <v>50000</v>
      </c>
      <c r="S319" s="49"/>
      <c r="T319" s="49"/>
      <c r="U319" s="49"/>
      <c r="V319" s="49"/>
      <c r="W319" s="49"/>
      <c r="X319" s="40">
        <f t="shared" si="21"/>
        <v>50000</v>
      </c>
    </row>
    <row r="320" spans="2:24" ht="31.5">
      <c r="B320" s="295"/>
      <c r="C320" s="295"/>
      <c r="D320" s="292"/>
      <c r="E320" s="31" t="s">
        <v>198</v>
      </c>
      <c r="F320" s="49">
        <v>200000</v>
      </c>
      <c r="G320" s="18">
        <f>100%-((F320-H320)/F320)</f>
        <v>1</v>
      </c>
      <c r="H320" s="220">
        <f>F320</f>
        <v>200000</v>
      </c>
      <c r="I320" s="249">
        <v>3110</v>
      </c>
      <c r="J320" s="21">
        <v>200000</v>
      </c>
      <c r="K320" s="49"/>
      <c r="L320" s="49"/>
      <c r="M320" s="49"/>
      <c r="N320" s="49"/>
      <c r="O320" s="49"/>
      <c r="P320" s="49"/>
      <c r="Q320" s="49">
        <v>200000</v>
      </c>
      <c r="R320" s="49"/>
      <c r="S320" s="49"/>
      <c r="T320" s="49"/>
      <c r="U320" s="49"/>
      <c r="V320" s="49"/>
      <c r="W320" s="49">
        <f>50000+8211+21789+40000+40000+40000</f>
        <v>200000</v>
      </c>
      <c r="X320" s="40">
        <f t="shared" si="21"/>
        <v>0</v>
      </c>
    </row>
    <row r="321" spans="2:24" ht="31.5">
      <c r="B321" s="295"/>
      <c r="C321" s="295"/>
      <c r="D321" s="292"/>
      <c r="E321" s="31" t="s">
        <v>518</v>
      </c>
      <c r="F321" s="49"/>
      <c r="G321" s="18"/>
      <c r="H321" s="220"/>
      <c r="I321" s="249">
        <v>3132</v>
      </c>
      <c r="J321" s="21">
        <v>65000</v>
      </c>
      <c r="K321" s="49"/>
      <c r="L321" s="49"/>
      <c r="M321" s="49"/>
      <c r="N321" s="49"/>
      <c r="O321" s="49"/>
      <c r="P321" s="49"/>
      <c r="Q321" s="49">
        <v>20000</v>
      </c>
      <c r="R321" s="49">
        <v>45000</v>
      </c>
      <c r="S321" s="49"/>
      <c r="T321" s="49"/>
      <c r="U321" s="49"/>
      <c r="V321" s="49"/>
      <c r="W321" s="49"/>
      <c r="X321" s="40">
        <f t="shared" si="21"/>
        <v>65000</v>
      </c>
    </row>
    <row r="322" spans="2:24" ht="31.5">
      <c r="B322" s="295"/>
      <c r="C322" s="295"/>
      <c r="D322" s="292"/>
      <c r="E322" s="31" t="s">
        <v>453</v>
      </c>
      <c r="F322" s="49"/>
      <c r="G322" s="18"/>
      <c r="H322" s="220"/>
      <c r="I322" s="249">
        <v>3132</v>
      </c>
      <c r="J322" s="21">
        <v>500000</v>
      </c>
      <c r="K322" s="49"/>
      <c r="L322" s="49"/>
      <c r="M322" s="49"/>
      <c r="N322" s="49"/>
      <c r="O322" s="49"/>
      <c r="P322" s="49"/>
      <c r="Q322" s="49"/>
      <c r="R322" s="49"/>
      <c r="S322" s="49">
        <v>500000</v>
      </c>
      <c r="T322" s="49"/>
      <c r="U322" s="49"/>
      <c r="V322" s="49"/>
      <c r="W322" s="49">
        <f>7755.95</f>
        <v>7755.95</v>
      </c>
      <c r="X322" s="40">
        <f t="shared" si="21"/>
        <v>492244.05</v>
      </c>
    </row>
    <row r="323" spans="2:24" ht="31.5">
      <c r="B323" s="302"/>
      <c r="C323" s="302"/>
      <c r="D323" s="305"/>
      <c r="E323" s="31" t="s">
        <v>918</v>
      </c>
      <c r="F323" s="49">
        <v>150000</v>
      </c>
      <c r="G323" s="18">
        <f>100%-((F323-H323)/F323)</f>
        <v>1</v>
      </c>
      <c r="H323" s="220">
        <f>F323</f>
        <v>150000</v>
      </c>
      <c r="I323" s="249">
        <v>3132</v>
      </c>
      <c r="J323" s="21">
        <v>150000</v>
      </c>
      <c r="K323" s="49"/>
      <c r="L323" s="49"/>
      <c r="M323" s="49"/>
      <c r="N323" s="49"/>
      <c r="O323" s="49">
        <v>10000</v>
      </c>
      <c r="P323" s="49"/>
      <c r="Q323" s="49">
        <v>70000</v>
      </c>
      <c r="R323" s="49"/>
      <c r="S323" s="49">
        <v>70000</v>
      </c>
      <c r="T323" s="49"/>
      <c r="U323" s="49"/>
      <c r="V323" s="49"/>
      <c r="W323" s="49">
        <f>5357.74+29713+69332+738.4+1929.2</f>
        <v>107070.33999999998</v>
      </c>
      <c r="X323" s="40">
        <f t="shared" si="21"/>
        <v>42929.66000000002</v>
      </c>
    </row>
    <row r="324" spans="2:24" ht="15.75">
      <c r="B324" s="301" t="s">
        <v>874</v>
      </c>
      <c r="C324" s="301" t="s">
        <v>412</v>
      </c>
      <c r="D324" s="304" t="s">
        <v>805</v>
      </c>
      <c r="E324" s="70"/>
      <c r="F324" s="45"/>
      <c r="G324" s="46"/>
      <c r="H324" s="216"/>
      <c r="I324" s="249"/>
      <c r="J324" s="185">
        <f>SUM(J325:J325)</f>
        <v>4999.98</v>
      </c>
      <c r="K324" s="185">
        <f aca="true" t="shared" si="25" ref="K324:W324">SUM(K325:K325)</f>
        <v>0</v>
      </c>
      <c r="L324" s="185">
        <f t="shared" si="25"/>
        <v>4999.98</v>
      </c>
      <c r="M324" s="185">
        <f t="shared" si="25"/>
        <v>0</v>
      </c>
      <c r="N324" s="185">
        <f t="shared" si="25"/>
        <v>0</v>
      </c>
      <c r="O324" s="185">
        <f t="shared" si="25"/>
        <v>0</v>
      </c>
      <c r="P324" s="185">
        <f t="shared" si="25"/>
        <v>0</v>
      </c>
      <c r="Q324" s="185">
        <f t="shared" si="25"/>
        <v>0</v>
      </c>
      <c r="R324" s="185">
        <f t="shared" si="25"/>
        <v>0</v>
      </c>
      <c r="S324" s="185">
        <f t="shared" si="25"/>
        <v>0</v>
      </c>
      <c r="T324" s="185">
        <f t="shared" si="25"/>
        <v>0</v>
      </c>
      <c r="U324" s="185">
        <f t="shared" si="25"/>
        <v>0</v>
      </c>
      <c r="V324" s="185">
        <f t="shared" si="25"/>
        <v>0</v>
      </c>
      <c r="W324" s="185">
        <f t="shared" si="25"/>
        <v>4999.98</v>
      </c>
      <c r="X324" s="184">
        <f t="shared" si="21"/>
        <v>0</v>
      </c>
    </row>
    <row r="325" spans="2:24" ht="63">
      <c r="B325" s="302"/>
      <c r="C325" s="302"/>
      <c r="D325" s="305"/>
      <c r="E325" s="70" t="s">
        <v>547</v>
      </c>
      <c r="F325" s="45"/>
      <c r="G325" s="46"/>
      <c r="H325" s="216"/>
      <c r="I325" s="249">
        <v>3110</v>
      </c>
      <c r="J325" s="45">
        <v>4999.98</v>
      </c>
      <c r="K325" s="49"/>
      <c r="L325" s="45">
        <v>4999.98</v>
      </c>
      <c r="M325" s="49"/>
      <c r="N325" s="49"/>
      <c r="O325" s="49"/>
      <c r="P325" s="49"/>
      <c r="Q325" s="49"/>
      <c r="R325" s="49"/>
      <c r="S325" s="49"/>
      <c r="T325" s="49"/>
      <c r="U325" s="49"/>
      <c r="V325" s="49"/>
      <c r="W325" s="49">
        <v>4999.98</v>
      </c>
      <c r="X325" s="40">
        <f t="shared" si="21"/>
        <v>0</v>
      </c>
    </row>
    <row r="326" spans="2:24" ht="15.75">
      <c r="B326" s="301" t="s">
        <v>413</v>
      </c>
      <c r="C326" s="301" t="s">
        <v>416</v>
      </c>
      <c r="D326" s="304" t="s">
        <v>417</v>
      </c>
      <c r="E326" s="70"/>
      <c r="F326" s="45"/>
      <c r="G326" s="46"/>
      <c r="H326" s="216"/>
      <c r="I326" s="249"/>
      <c r="J326" s="185">
        <f>SUM(J327:J342)</f>
        <v>1356203.76</v>
      </c>
      <c r="K326" s="185">
        <f aca="true" t="shared" si="26" ref="K326:W326">SUM(K327:K342)</f>
        <v>0</v>
      </c>
      <c r="L326" s="185">
        <f t="shared" si="26"/>
        <v>257023.76</v>
      </c>
      <c r="M326" s="185">
        <f t="shared" si="26"/>
        <v>0</v>
      </c>
      <c r="N326" s="185">
        <f t="shared" si="26"/>
        <v>0</v>
      </c>
      <c r="O326" s="185">
        <f t="shared" si="26"/>
        <v>203000</v>
      </c>
      <c r="P326" s="185">
        <f t="shared" si="26"/>
        <v>130000</v>
      </c>
      <c r="Q326" s="185">
        <f t="shared" si="26"/>
        <v>470000</v>
      </c>
      <c r="R326" s="185">
        <f t="shared" si="26"/>
        <v>357500</v>
      </c>
      <c r="S326" s="185">
        <f t="shared" si="26"/>
        <v>-71320</v>
      </c>
      <c r="T326" s="185">
        <f t="shared" si="26"/>
        <v>10000</v>
      </c>
      <c r="U326" s="185">
        <f t="shared" si="26"/>
        <v>0</v>
      </c>
      <c r="V326" s="185">
        <f t="shared" si="26"/>
        <v>0</v>
      </c>
      <c r="W326" s="185">
        <f t="shared" si="26"/>
        <v>868729.72</v>
      </c>
      <c r="X326" s="184">
        <f t="shared" si="21"/>
        <v>487474.04000000004</v>
      </c>
    </row>
    <row r="327" spans="2:24" ht="63">
      <c r="B327" s="295"/>
      <c r="C327" s="295"/>
      <c r="D327" s="292"/>
      <c r="E327" s="267" t="s">
        <v>548</v>
      </c>
      <c r="F327" s="45"/>
      <c r="G327" s="46"/>
      <c r="H327" s="216"/>
      <c r="I327" s="249">
        <v>3132</v>
      </c>
      <c r="J327" s="9">
        <v>134745.8</v>
      </c>
      <c r="K327" s="49"/>
      <c r="L327" s="9">
        <v>134745.8</v>
      </c>
      <c r="M327" s="49"/>
      <c r="N327" s="49"/>
      <c r="O327" s="49"/>
      <c r="P327" s="49"/>
      <c r="Q327" s="49"/>
      <c r="R327" s="49"/>
      <c r="S327" s="49"/>
      <c r="T327" s="49"/>
      <c r="U327" s="49"/>
      <c r="V327" s="49"/>
      <c r="W327" s="49">
        <v>134745.8</v>
      </c>
      <c r="X327" s="40">
        <f t="shared" si="21"/>
        <v>0</v>
      </c>
    </row>
    <row r="328" spans="2:24" ht="78.75">
      <c r="B328" s="295"/>
      <c r="C328" s="295"/>
      <c r="D328" s="292"/>
      <c r="E328" s="267" t="s">
        <v>608</v>
      </c>
      <c r="F328" s="45"/>
      <c r="G328" s="46"/>
      <c r="H328" s="216"/>
      <c r="I328" s="249">
        <v>3132</v>
      </c>
      <c r="J328" s="9">
        <v>122277.96</v>
      </c>
      <c r="K328" s="49"/>
      <c r="L328" s="9">
        <v>122277.96</v>
      </c>
      <c r="M328" s="49"/>
      <c r="N328" s="49"/>
      <c r="O328" s="49"/>
      <c r="P328" s="49"/>
      <c r="Q328" s="49"/>
      <c r="R328" s="49"/>
      <c r="S328" s="49"/>
      <c r="T328" s="49"/>
      <c r="U328" s="49"/>
      <c r="V328" s="49"/>
      <c r="W328" s="49">
        <v>122277.96</v>
      </c>
      <c r="X328" s="40">
        <f t="shared" si="21"/>
        <v>0</v>
      </c>
    </row>
    <row r="329" spans="2:24" ht="78.75">
      <c r="B329" s="295"/>
      <c r="C329" s="295"/>
      <c r="D329" s="292"/>
      <c r="E329" s="48" t="s">
        <v>296</v>
      </c>
      <c r="F329" s="45"/>
      <c r="G329" s="46"/>
      <c r="H329" s="216"/>
      <c r="I329" s="249">
        <v>3110</v>
      </c>
      <c r="J329" s="9">
        <v>68000</v>
      </c>
      <c r="K329" s="49"/>
      <c r="L329" s="49"/>
      <c r="M329" s="49"/>
      <c r="N329" s="49"/>
      <c r="O329" s="49">
        <v>68000</v>
      </c>
      <c r="P329" s="49"/>
      <c r="Q329" s="49"/>
      <c r="R329" s="49"/>
      <c r="S329" s="49"/>
      <c r="T329" s="49"/>
      <c r="U329" s="49"/>
      <c r="V329" s="49"/>
      <c r="W329" s="49">
        <v>68000</v>
      </c>
      <c r="X329" s="40">
        <f t="shared" si="21"/>
        <v>0</v>
      </c>
    </row>
    <row r="330" spans="2:24" ht="78.75">
      <c r="B330" s="295"/>
      <c r="C330" s="295"/>
      <c r="D330" s="292"/>
      <c r="E330" s="48" t="s">
        <v>378</v>
      </c>
      <c r="F330" s="45"/>
      <c r="G330" s="46"/>
      <c r="H330" s="216"/>
      <c r="I330" s="249">
        <v>3110</v>
      </c>
      <c r="J330" s="9">
        <v>60000</v>
      </c>
      <c r="K330" s="49"/>
      <c r="L330" s="49"/>
      <c r="M330" s="49"/>
      <c r="N330" s="49"/>
      <c r="O330" s="49"/>
      <c r="P330" s="49">
        <v>60000</v>
      </c>
      <c r="Q330" s="49"/>
      <c r="R330" s="49"/>
      <c r="S330" s="49"/>
      <c r="T330" s="49"/>
      <c r="U330" s="49"/>
      <c r="V330" s="49"/>
      <c r="W330" s="49">
        <v>60000</v>
      </c>
      <c r="X330" s="40">
        <f t="shared" si="21"/>
        <v>0</v>
      </c>
    </row>
    <row r="331" spans="2:24" ht="47.25">
      <c r="B331" s="295"/>
      <c r="C331" s="295"/>
      <c r="D331" s="292"/>
      <c r="E331" s="67" t="s">
        <v>919</v>
      </c>
      <c r="F331" s="49">
        <v>125000</v>
      </c>
      <c r="G331" s="18">
        <f>100%-((F331-H331)/F331)</f>
        <v>0.64</v>
      </c>
      <c r="H331" s="220">
        <v>80000</v>
      </c>
      <c r="I331" s="249">
        <v>3132</v>
      </c>
      <c r="J331" s="21">
        <f>80000+25000</f>
        <v>105000</v>
      </c>
      <c r="K331" s="49"/>
      <c r="L331" s="49"/>
      <c r="M331" s="49"/>
      <c r="N331" s="49"/>
      <c r="O331" s="49">
        <v>35000</v>
      </c>
      <c r="P331" s="49"/>
      <c r="Q331" s="49">
        <v>45000</v>
      </c>
      <c r="R331" s="49">
        <f>25000</f>
        <v>25000</v>
      </c>
      <c r="S331" s="49"/>
      <c r="T331" s="49"/>
      <c r="U331" s="49"/>
      <c r="V331" s="49"/>
      <c r="W331" s="49">
        <f>10140.3+369.2+50935.3+1130.4+32439</f>
        <v>95014.20000000001</v>
      </c>
      <c r="X331" s="40">
        <f t="shared" si="21"/>
        <v>9985.799999999988</v>
      </c>
    </row>
    <row r="332" spans="2:24" ht="47.25">
      <c r="B332" s="295"/>
      <c r="C332" s="295"/>
      <c r="D332" s="292"/>
      <c r="E332" s="67" t="s">
        <v>181</v>
      </c>
      <c r="F332" s="49">
        <v>15000</v>
      </c>
      <c r="G332" s="18">
        <f>100%-((F332-H332)/F332)</f>
        <v>1</v>
      </c>
      <c r="H332" s="220">
        <v>15000</v>
      </c>
      <c r="I332" s="249">
        <v>3132</v>
      </c>
      <c r="J332" s="21">
        <f>15000-1320</f>
        <v>13680</v>
      </c>
      <c r="K332" s="49"/>
      <c r="L332" s="49"/>
      <c r="M332" s="49"/>
      <c r="N332" s="49"/>
      <c r="O332" s="49">
        <v>15000</v>
      </c>
      <c r="P332" s="49"/>
      <c r="Q332" s="49"/>
      <c r="R332" s="49"/>
      <c r="S332" s="49">
        <v>-1320</v>
      </c>
      <c r="T332" s="49"/>
      <c r="U332" s="49"/>
      <c r="V332" s="49"/>
      <c r="W332" s="49">
        <f>11936.82</f>
        <v>11936.82</v>
      </c>
      <c r="X332" s="40">
        <f t="shared" si="21"/>
        <v>1743.1800000000003</v>
      </c>
    </row>
    <row r="333" spans="2:24" ht="47.25">
      <c r="B333" s="295"/>
      <c r="C333" s="295"/>
      <c r="D333" s="292"/>
      <c r="E333" s="67" t="s">
        <v>365</v>
      </c>
      <c r="F333" s="49"/>
      <c r="G333" s="18"/>
      <c r="H333" s="220"/>
      <c r="I333" s="249">
        <v>3132</v>
      </c>
      <c r="J333" s="21">
        <f>150000-125000</f>
        <v>25000</v>
      </c>
      <c r="K333" s="49"/>
      <c r="L333" s="49"/>
      <c r="M333" s="49"/>
      <c r="N333" s="49"/>
      <c r="O333" s="49">
        <v>10000</v>
      </c>
      <c r="P333" s="49"/>
      <c r="Q333" s="49">
        <v>55000</v>
      </c>
      <c r="R333" s="49">
        <f>85000-125000</f>
        <v>-40000</v>
      </c>
      <c r="S333" s="49"/>
      <c r="T333" s="49"/>
      <c r="U333" s="49"/>
      <c r="V333" s="49"/>
      <c r="W333" s="49"/>
      <c r="X333" s="40">
        <f t="shared" si="21"/>
        <v>25000</v>
      </c>
    </row>
    <row r="334" spans="2:24" ht="31.5">
      <c r="B334" s="295"/>
      <c r="C334" s="295"/>
      <c r="D334" s="292"/>
      <c r="E334" s="31" t="s">
        <v>770</v>
      </c>
      <c r="F334" s="49">
        <v>80000</v>
      </c>
      <c r="G334" s="18">
        <f aca="true" t="shared" si="27" ref="G334:G342">100%-((F334-H334)/F334)</f>
        <v>1</v>
      </c>
      <c r="H334" s="220">
        <f aca="true" t="shared" si="28" ref="H334:H342">F334</f>
        <v>80000</v>
      </c>
      <c r="I334" s="249">
        <v>3132</v>
      </c>
      <c r="J334" s="21">
        <v>80000</v>
      </c>
      <c r="K334" s="49"/>
      <c r="L334" s="49"/>
      <c r="M334" s="49"/>
      <c r="N334" s="49"/>
      <c r="O334" s="49">
        <v>10000</v>
      </c>
      <c r="P334" s="49"/>
      <c r="Q334" s="49">
        <v>40000</v>
      </c>
      <c r="R334" s="49">
        <v>30000</v>
      </c>
      <c r="S334" s="49"/>
      <c r="T334" s="49"/>
      <c r="U334" s="49"/>
      <c r="V334" s="49"/>
      <c r="W334" s="49">
        <f>2511.27</f>
        <v>2511.27</v>
      </c>
      <c r="X334" s="40">
        <f t="shared" si="21"/>
        <v>77488.73</v>
      </c>
    </row>
    <row r="335" spans="2:24" ht="47.25">
      <c r="B335" s="295"/>
      <c r="C335" s="295"/>
      <c r="D335" s="292"/>
      <c r="E335" s="31" t="s">
        <v>777</v>
      </c>
      <c r="F335" s="49">
        <v>50000</v>
      </c>
      <c r="G335" s="18">
        <f t="shared" si="27"/>
        <v>1</v>
      </c>
      <c r="H335" s="220">
        <f t="shared" si="28"/>
        <v>50000</v>
      </c>
      <c r="I335" s="249">
        <v>3132</v>
      </c>
      <c r="J335" s="21">
        <v>50000</v>
      </c>
      <c r="K335" s="49"/>
      <c r="L335" s="49"/>
      <c r="M335" s="49"/>
      <c r="N335" s="49"/>
      <c r="O335" s="49">
        <v>10000</v>
      </c>
      <c r="P335" s="49"/>
      <c r="Q335" s="49">
        <v>20000</v>
      </c>
      <c r="R335" s="49">
        <v>20000</v>
      </c>
      <c r="S335" s="49"/>
      <c r="T335" s="49"/>
      <c r="U335" s="49"/>
      <c r="V335" s="49"/>
      <c r="W335" s="49">
        <f>1789.2</f>
        <v>1789.2</v>
      </c>
      <c r="X335" s="40">
        <f t="shared" si="21"/>
        <v>48210.8</v>
      </c>
    </row>
    <row r="336" spans="2:24" ht="63">
      <c r="B336" s="295"/>
      <c r="C336" s="295"/>
      <c r="D336" s="292"/>
      <c r="E336" s="31" t="s">
        <v>42</v>
      </c>
      <c r="F336" s="49"/>
      <c r="G336" s="18"/>
      <c r="H336" s="220"/>
      <c r="I336" s="249">
        <v>3132</v>
      </c>
      <c r="J336" s="21">
        <f>25000+10000</f>
        <v>35000</v>
      </c>
      <c r="K336" s="49"/>
      <c r="L336" s="49"/>
      <c r="M336" s="49"/>
      <c r="N336" s="49"/>
      <c r="O336" s="49">
        <v>25000</v>
      </c>
      <c r="P336" s="49"/>
      <c r="Q336" s="49"/>
      <c r="R336" s="49"/>
      <c r="S336" s="49"/>
      <c r="T336" s="49">
        <v>10000</v>
      </c>
      <c r="U336" s="49"/>
      <c r="V336" s="49"/>
      <c r="W336" s="49">
        <f>396</f>
        <v>396</v>
      </c>
      <c r="X336" s="40">
        <f t="shared" si="21"/>
        <v>34604</v>
      </c>
    </row>
    <row r="337" spans="2:24" ht="31.5" hidden="1">
      <c r="B337" s="295"/>
      <c r="C337" s="295"/>
      <c r="D337" s="292"/>
      <c r="E337" s="31" t="s">
        <v>43</v>
      </c>
      <c r="F337" s="49"/>
      <c r="G337" s="18"/>
      <c r="H337" s="220"/>
      <c r="I337" s="249">
        <v>3110</v>
      </c>
      <c r="J337" s="21">
        <f>70000-70000</f>
        <v>0</v>
      </c>
      <c r="K337" s="49"/>
      <c r="L337" s="49"/>
      <c r="M337" s="49"/>
      <c r="N337" s="49"/>
      <c r="O337" s="49"/>
      <c r="P337" s="49">
        <v>70000</v>
      </c>
      <c r="Q337" s="49"/>
      <c r="R337" s="49"/>
      <c r="S337" s="49">
        <v>-70000</v>
      </c>
      <c r="T337" s="49"/>
      <c r="U337" s="49"/>
      <c r="V337" s="49"/>
      <c r="W337" s="49"/>
      <c r="X337" s="40">
        <f t="shared" si="21"/>
        <v>0</v>
      </c>
    </row>
    <row r="338" spans="2:24" ht="31.5">
      <c r="B338" s="295"/>
      <c r="C338" s="295"/>
      <c r="D338" s="292"/>
      <c r="E338" s="31" t="s">
        <v>35</v>
      </c>
      <c r="F338" s="49">
        <v>80000</v>
      </c>
      <c r="G338" s="18">
        <f t="shared" si="27"/>
        <v>1</v>
      </c>
      <c r="H338" s="220">
        <f t="shared" si="28"/>
        <v>80000</v>
      </c>
      <c r="I338" s="249">
        <v>3132</v>
      </c>
      <c r="J338" s="21">
        <v>80000</v>
      </c>
      <c r="K338" s="49"/>
      <c r="L338" s="49"/>
      <c r="M338" s="49"/>
      <c r="N338" s="49"/>
      <c r="O338" s="49">
        <v>10000</v>
      </c>
      <c r="P338" s="49"/>
      <c r="Q338" s="49">
        <v>40000</v>
      </c>
      <c r="R338" s="49">
        <v>30000</v>
      </c>
      <c r="S338" s="49"/>
      <c r="T338" s="49"/>
      <c r="U338" s="49"/>
      <c r="V338" s="49"/>
      <c r="W338" s="49">
        <f>2511.27</f>
        <v>2511.27</v>
      </c>
      <c r="X338" s="40">
        <f t="shared" si="21"/>
        <v>77488.73</v>
      </c>
    </row>
    <row r="339" spans="2:24" ht="31.5">
      <c r="B339" s="295"/>
      <c r="C339" s="295"/>
      <c r="D339" s="292"/>
      <c r="E339" s="31" t="s">
        <v>36</v>
      </c>
      <c r="F339" s="49"/>
      <c r="G339" s="18"/>
      <c r="H339" s="220"/>
      <c r="I339" s="249">
        <v>3110</v>
      </c>
      <c r="J339" s="21">
        <v>400000</v>
      </c>
      <c r="K339" s="49"/>
      <c r="L339" s="49"/>
      <c r="M339" s="49"/>
      <c r="N339" s="49"/>
      <c r="O339" s="49"/>
      <c r="P339" s="49"/>
      <c r="Q339" s="49">
        <v>200000</v>
      </c>
      <c r="R339" s="49">
        <v>200000</v>
      </c>
      <c r="S339" s="49"/>
      <c r="T339" s="49"/>
      <c r="U339" s="49"/>
      <c r="V339" s="49"/>
      <c r="W339" s="49">
        <f>85000+21518+7950+253290</f>
        <v>367758</v>
      </c>
      <c r="X339" s="40">
        <f t="shared" si="21"/>
        <v>32242</v>
      </c>
    </row>
    <row r="340" spans="2:24" ht="47.25">
      <c r="B340" s="295"/>
      <c r="C340" s="295"/>
      <c r="D340" s="292"/>
      <c r="E340" s="31" t="s">
        <v>97</v>
      </c>
      <c r="F340" s="49"/>
      <c r="G340" s="18"/>
      <c r="H340" s="220"/>
      <c r="I340" s="249">
        <v>3132</v>
      </c>
      <c r="J340" s="21">
        <f>50000-25000</f>
        <v>25000</v>
      </c>
      <c r="K340" s="49"/>
      <c r="L340" s="49"/>
      <c r="M340" s="49"/>
      <c r="N340" s="49"/>
      <c r="O340" s="49">
        <v>10000</v>
      </c>
      <c r="P340" s="49"/>
      <c r="Q340" s="49">
        <v>20000</v>
      </c>
      <c r="R340" s="49">
        <f>20000-25000</f>
        <v>-5000</v>
      </c>
      <c r="S340" s="49"/>
      <c r="T340" s="49"/>
      <c r="U340" s="49"/>
      <c r="V340" s="49"/>
      <c r="W340" s="49"/>
      <c r="X340" s="40">
        <f t="shared" si="21"/>
        <v>25000</v>
      </c>
    </row>
    <row r="341" spans="2:24" ht="31.5">
      <c r="B341" s="295"/>
      <c r="C341" s="295"/>
      <c r="D341" s="292"/>
      <c r="E341" s="31" t="s">
        <v>518</v>
      </c>
      <c r="F341" s="49"/>
      <c r="G341" s="18"/>
      <c r="H341" s="220"/>
      <c r="I341" s="249">
        <v>3132</v>
      </c>
      <c r="J341" s="21">
        <v>107500</v>
      </c>
      <c r="K341" s="49"/>
      <c r="L341" s="49"/>
      <c r="M341" s="49"/>
      <c r="N341" s="49"/>
      <c r="O341" s="49"/>
      <c r="P341" s="49"/>
      <c r="Q341" s="49">
        <v>30000</v>
      </c>
      <c r="R341" s="49">
        <v>77500</v>
      </c>
      <c r="S341" s="49"/>
      <c r="T341" s="49"/>
      <c r="U341" s="49"/>
      <c r="V341" s="49"/>
      <c r="W341" s="49"/>
      <c r="X341" s="40">
        <f t="shared" si="21"/>
        <v>107500</v>
      </c>
    </row>
    <row r="342" spans="2:24" ht="47.25">
      <c r="B342" s="295"/>
      <c r="C342" s="295"/>
      <c r="D342" s="292"/>
      <c r="E342" s="31" t="s">
        <v>98</v>
      </c>
      <c r="F342" s="49">
        <v>50000</v>
      </c>
      <c r="G342" s="18">
        <f t="shared" si="27"/>
        <v>1</v>
      </c>
      <c r="H342" s="220">
        <f t="shared" si="28"/>
        <v>50000</v>
      </c>
      <c r="I342" s="249">
        <v>3132</v>
      </c>
      <c r="J342" s="21">
        <v>50000</v>
      </c>
      <c r="K342" s="49"/>
      <c r="L342" s="49"/>
      <c r="M342" s="49"/>
      <c r="N342" s="49"/>
      <c r="O342" s="49">
        <v>10000</v>
      </c>
      <c r="P342" s="49"/>
      <c r="Q342" s="49">
        <v>20000</v>
      </c>
      <c r="R342" s="49">
        <v>20000</v>
      </c>
      <c r="S342" s="49"/>
      <c r="T342" s="49"/>
      <c r="U342" s="49"/>
      <c r="V342" s="49"/>
      <c r="W342" s="49">
        <f>1789.2</f>
        <v>1789.2</v>
      </c>
      <c r="X342" s="40">
        <f t="shared" si="21"/>
        <v>48210.8</v>
      </c>
    </row>
    <row r="343" spans="2:24" ht="15.75">
      <c r="B343" s="301" t="s">
        <v>415</v>
      </c>
      <c r="C343" s="301" t="s">
        <v>416</v>
      </c>
      <c r="D343" s="304" t="s">
        <v>419</v>
      </c>
      <c r="E343" s="70"/>
      <c r="F343" s="45"/>
      <c r="G343" s="46"/>
      <c r="H343" s="216"/>
      <c r="I343" s="249"/>
      <c r="J343" s="185">
        <f>J344+J345</f>
        <v>28699.98</v>
      </c>
      <c r="K343" s="185">
        <f aca="true" t="shared" si="29" ref="K343:W343">K344+K345</f>
        <v>0</v>
      </c>
      <c r="L343" s="185">
        <f t="shared" si="29"/>
        <v>22699.98</v>
      </c>
      <c r="M343" s="185">
        <f t="shared" si="29"/>
        <v>0</v>
      </c>
      <c r="N343" s="185">
        <f t="shared" si="29"/>
        <v>0</v>
      </c>
      <c r="O343" s="185">
        <f t="shared" si="29"/>
        <v>0</v>
      </c>
      <c r="P343" s="185">
        <f t="shared" si="29"/>
        <v>6000</v>
      </c>
      <c r="Q343" s="185">
        <f t="shared" si="29"/>
        <v>0</v>
      </c>
      <c r="R343" s="185">
        <f t="shared" si="29"/>
        <v>0</v>
      </c>
      <c r="S343" s="185">
        <f t="shared" si="29"/>
        <v>0</v>
      </c>
      <c r="T343" s="185">
        <f t="shared" si="29"/>
        <v>0</v>
      </c>
      <c r="U343" s="185">
        <f t="shared" si="29"/>
        <v>0</v>
      </c>
      <c r="V343" s="185">
        <f t="shared" si="29"/>
        <v>0</v>
      </c>
      <c r="W343" s="185">
        <f t="shared" si="29"/>
        <v>22699.98</v>
      </c>
      <c r="X343" s="184">
        <f t="shared" si="21"/>
        <v>6000</v>
      </c>
    </row>
    <row r="344" spans="2:24" ht="63">
      <c r="B344" s="295"/>
      <c r="C344" s="295"/>
      <c r="D344" s="292"/>
      <c r="E344" s="70" t="s">
        <v>547</v>
      </c>
      <c r="F344" s="45"/>
      <c r="G344" s="46"/>
      <c r="H344" s="216"/>
      <c r="I344" s="249">
        <v>3110</v>
      </c>
      <c r="J344" s="45">
        <v>22699.98</v>
      </c>
      <c r="K344" s="49"/>
      <c r="L344" s="45">
        <v>22699.98</v>
      </c>
      <c r="M344" s="49"/>
      <c r="N344" s="49"/>
      <c r="O344" s="49"/>
      <c r="P344" s="49"/>
      <c r="Q344" s="49"/>
      <c r="R344" s="49"/>
      <c r="S344" s="49"/>
      <c r="T344" s="49"/>
      <c r="U344" s="49"/>
      <c r="V344" s="49"/>
      <c r="W344" s="49">
        <v>22699.98</v>
      </c>
      <c r="X344" s="40">
        <f t="shared" si="21"/>
        <v>0</v>
      </c>
    </row>
    <row r="345" spans="2:24" ht="31.5">
      <c r="B345" s="302"/>
      <c r="C345" s="302"/>
      <c r="D345" s="305"/>
      <c r="E345" s="80" t="s">
        <v>503</v>
      </c>
      <c r="F345" s="49"/>
      <c r="G345" s="18"/>
      <c r="H345" s="220"/>
      <c r="I345" s="249">
        <v>3110</v>
      </c>
      <c r="J345" s="21">
        <v>6000</v>
      </c>
      <c r="K345" s="49"/>
      <c r="L345" s="49"/>
      <c r="M345" s="49"/>
      <c r="N345" s="49"/>
      <c r="O345" s="49"/>
      <c r="P345" s="49">
        <v>6000</v>
      </c>
      <c r="Q345" s="49"/>
      <c r="R345" s="49">
        <f>6000-6000</f>
        <v>0</v>
      </c>
      <c r="S345" s="49"/>
      <c r="T345" s="49"/>
      <c r="U345" s="49"/>
      <c r="V345" s="49"/>
      <c r="W345" s="49"/>
      <c r="X345" s="40">
        <f t="shared" si="21"/>
        <v>6000</v>
      </c>
    </row>
    <row r="346" spans="2:24" ht="15.75">
      <c r="B346" s="301" t="s">
        <v>698</v>
      </c>
      <c r="C346" s="301" t="s">
        <v>699</v>
      </c>
      <c r="D346" s="304" t="s">
        <v>420</v>
      </c>
      <c r="E346" s="70"/>
      <c r="F346" s="45"/>
      <c r="G346" s="46"/>
      <c r="H346" s="216"/>
      <c r="I346" s="249"/>
      <c r="J346" s="185">
        <f>SUM(J347:J351)</f>
        <v>694346.1</v>
      </c>
      <c r="K346" s="185">
        <f aca="true" t="shared" si="30" ref="K346:W346">SUM(K347:K351)</f>
        <v>0</v>
      </c>
      <c r="L346" s="185">
        <f t="shared" si="30"/>
        <v>131346.1</v>
      </c>
      <c r="M346" s="185">
        <f t="shared" si="30"/>
        <v>0</v>
      </c>
      <c r="N346" s="185">
        <f t="shared" si="30"/>
        <v>0</v>
      </c>
      <c r="O346" s="185">
        <f t="shared" si="30"/>
        <v>92000</v>
      </c>
      <c r="P346" s="185">
        <f t="shared" si="30"/>
        <v>0</v>
      </c>
      <c r="Q346" s="185">
        <f t="shared" si="30"/>
        <v>45000</v>
      </c>
      <c r="R346" s="185">
        <f t="shared" si="30"/>
        <v>30000</v>
      </c>
      <c r="S346" s="185">
        <f t="shared" si="30"/>
        <v>396000</v>
      </c>
      <c r="T346" s="185">
        <f t="shared" si="30"/>
        <v>0</v>
      </c>
      <c r="U346" s="185">
        <f t="shared" si="30"/>
        <v>0</v>
      </c>
      <c r="V346" s="185">
        <f t="shared" si="30"/>
        <v>0</v>
      </c>
      <c r="W346" s="185">
        <f t="shared" si="30"/>
        <v>131346.1</v>
      </c>
      <c r="X346" s="184">
        <f t="shared" si="21"/>
        <v>563000</v>
      </c>
    </row>
    <row r="347" spans="2:24" ht="78.75">
      <c r="B347" s="295"/>
      <c r="C347" s="295"/>
      <c r="D347" s="292"/>
      <c r="E347" s="47" t="s">
        <v>611</v>
      </c>
      <c r="F347" s="45">
        <v>174469</v>
      </c>
      <c r="G347" s="18">
        <f>100%-((F347-H347)/F347)</f>
        <v>0.6304844986788484</v>
      </c>
      <c r="H347" s="216">
        <v>110000</v>
      </c>
      <c r="I347" s="249">
        <v>3122</v>
      </c>
      <c r="J347" s="9">
        <v>4242.1</v>
      </c>
      <c r="K347" s="49"/>
      <c r="L347" s="9">
        <v>4242.1</v>
      </c>
      <c r="M347" s="49"/>
      <c r="N347" s="49"/>
      <c r="O347" s="49"/>
      <c r="P347" s="49"/>
      <c r="Q347" s="49"/>
      <c r="R347" s="49"/>
      <c r="S347" s="49"/>
      <c r="T347" s="49"/>
      <c r="U347" s="49"/>
      <c r="V347" s="49"/>
      <c r="W347" s="49">
        <v>4242.1</v>
      </c>
      <c r="X347" s="40">
        <f t="shared" si="21"/>
        <v>0</v>
      </c>
    </row>
    <row r="348" spans="2:24" ht="31.5">
      <c r="B348" s="295"/>
      <c r="C348" s="295"/>
      <c r="D348" s="292"/>
      <c r="E348" s="29" t="s">
        <v>612</v>
      </c>
      <c r="F348" s="45">
        <v>325841.85</v>
      </c>
      <c r="G348" s="18">
        <f>100%-((F348-H348)/F348)</f>
        <v>0.1715561091983735</v>
      </c>
      <c r="H348" s="216">
        <v>55900.16</v>
      </c>
      <c r="I348" s="249">
        <v>3142</v>
      </c>
      <c r="J348" s="9">
        <v>127104</v>
      </c>
      <c r="K348" s="49"/>
      <c r="L348" s="9">
        <v>127104</v>
      </c>
      <c r="M348" s="49"/>
      <c r="N348" s="49"/>
      <c r="O348" s="49"/>
      <c r="P348" s="49"/>
      <c r="Q348" s="49"/>
      <c r="R348" s="49"/>
      <c r="S348" s="49"/>
      <c r="T348" s="49"/>
      <c r="U348" s="49"/>
      <c r="V348" s="49"/>
      <c r="W348" s="49">
        <v>127104</v>
      </c>
      <c r="X348" s="40">
        <f t="shared" si="21"/>
        <v>0</v>
      </c>
    </row>
    <row r="349" spans="2:24" ht="63">
      <c r="B349" s="295"/>
      <c r="C349" s="295"/>
      <c r="D349" s="292"/>
      <c r="E349" s="81" t="s">
        <v>559</v>
      </c>
      <c r="F349" s="82">
        <v>372700</v>
      </c>
      <c r="G349" s="18">
        <f>100%-((F349-H349)/F349)</f>
        <v>0.15293801985511135</v>
      </c>
      <c r="H349" s="222">
        <v>57000</v>
      </c>
      <c r="I349" s="249">
        <v>3142</v>
      </c>
      <c r="J349" s="66">
        <v>57000</v>
      </c>
      <c r="K349" s="49"/>
      <c r="L349" s="49"/>
      <c r="M349" s="49"/>
      <c r="N349" s="49"/>
      <c r="O349" s="49">
        <v>57000</v>
      </c>
      <c r="P349" s="49"/>
      <c r="Q349" s="49"/>
      <c r="R349" s="49"/>
      <c r="S349" s="49"/>
      <c r="T349" s="49"/>
      <c r="U349" s="49"/>
      <c r="V349" s="49"/>
      <c r="W349" s="49"/>
      <c r="X349" s="40">
        <f t="shared" si="21"/>
        <v>57000</v>
      </c>
    </row>
    <row r="350" spans="2:24" ht="47.25">
      <c r="B350" s="295"/>
      <c r="C350" s="295"/>
      <c r="D350" s="292"/>
      <c r="E350" s="279" t="s">
        <v>927</v>
      </c>
      <c r="F350" s="280"/>
      <c r="G350" s="18"/>
      <c r="H350" s="281"/>
      <c r="I350" s="249">
        <v>3142</v>
      </c>
      <c r="J350" s="66">
        <v>396000</v>
      </c>
      <c r="K350" s="49"/>
      <c r="L350" s="49"/>
      <c r="M350" s="49"/>
      <c r="N350" s="49"/>
      <c r="O350" s="49"/>
      <c r="P350" s="49"/>
      <c r="Q350" s="49"/>
      <c r="R350" s="49"/>
      <c r="S350" s="49">
        <v>396000</v>
      </c>
      <c r="T350" s="49"/>
      <c r="U350" s="49"/>
      <c r="V350" s="49"/>
      <c r="W350" s="49"/>
      <c r="X350" s="40">
        <f t="shared" si="21"/>
        <v>396000</v>
      </c>
    </row>
    <row r="351" spans="2:24" ht="63">
      <c r="B351" s="302"/>
      <c r="C351" s="302"/>
      <c r="D351" s="305"/>
      <c r="E351" s="67" t="s">
        <v>560</v>
      </c>
      <c r="F351" s="49">
        <v>175111</v>
      </c>
      <c r="G351" s="18">
        <f>100%-((F351-H351)/F351)</f>
        <v>0.6281729874194082</v>
      </c>
      <c r="H351" s="220">
        <v>110000</v>
      </c>
      <c r="I351" s="249">
        <v>3122</v>
      </c>
      <c r="J351" s="21">
        <v>110000</v>
      </c>
      <c r="K351" s="49"/>
      <c r="L351" s="49"/>
      <c r="M351" s="49"/>
      <c r="N351" s="49"/>
      <c r="O351" s="49">
        <v>35000</v>
      </c>
      <c r="P351" s="49"/>
      <c r="Q351" s="49">
        <v>45000</v>
      </c>
      <c r="R351" s="49">
        <v>30000</v>
      </c>
      <c r="S351" s="49"/>
      <c r="T351" s="49"/>
      <c r="U351" s="49"/>
      <c r="V351" s="49"/>
      <c r="W351" s="49"/>
      <c r="X351" s="40">
        <f t="shared" si="21"/>
        <v>110000</v>
      </c>
    </row>
    <row r="352" spans="2:24" ht="15.75">
      <c r="B352" s="301" t="s">
        <v>879</v>
      </c>
      <c r="C352" s="301" t="s">
        <v>119</v>
      </c>
      <c r="D352" s="304" t="s">
        <v>231</v>
      </c>
      <c r="E352" s="70"/>
      <c r="F352" s="45"/>
      <c r="G352" s="18"/>
      <c r="H352" s="216"/>
      <c r="I352" s="249"/>
      <c r="J352" s="185">
        <f>SUM(J353:J365)</f>
        <v>6204640.67</v>
      </c>
      <c r="K352" s="185">
        <f aca="true" t="shared" si="31" ref="K352:W352">SUM(K353:K365)</f>
        <v>0</v>
      </c>
      <c r="L352" s="185">
        <f t="shared" si="31"/>
        <v>393320.67000000004</v>
      </c>
      <c r="M352" s="185">
        <f t="shared" si="31"/>
        <v>0</v>
      </c>
      <c r="N352" s="185">
        <f t="shared" si="31"/>
        <v>0</v>
      </c>
      <c r="O352" s="185">
        <f t="shared" si="31"/>
        <v>310000</v>
      </c>
      <c r="P352" s="185">
        <f t="shared" si="31"/>
        <v>-120000</v>
      </c>
      <c r="Q352" s="185">
        <f t="shared" si="31"/>
        <v>480000</v>
      </c>
      <c r="R352" s="185">
        <f t="shared" si="31"/>
        <v>130000</v>
      </c>
      <c r="S352" s="185">
        <f t="shared" si="31"/>
        <v>311320</v>
      </c>
      <c r="T352" s="185">
        <f t="shared" si="31"/>
        <v>4700000</v>
      </c>
      <c r="U352" s="185">
        <f t="shared" si="31"/>
        <v>0</v>
      </c>
      <c r="V352" s="185">
        <f t="shared" si="31"/>
        <v>0</v>
      </c>
      <c r="W352" s="185">
        <f t="shared" si="31"/>
        <v>546024.4400000001</v>
      </c>
      <c r="X352" s="184">
        <f aca="true" t="shared" si="32" ref="X352:X418">K352+L352+M352+N352+O352+P352+Q352+R352+S352+T352-W352</f>
        <v>5658616.2299999995</v>
      </c>
    </row>
    <row r="353" spans="2:24" ht="78.75">
      <c r="B353" s="295"/>
      <c r="C353" s="295"/>
      <c r="D353" s="292"/>
      <c r="E353" s="72" t="s">
        <v>736</v>
      </c>
      <c r="F353" s="45">
        <v>262076</v>
      </c>
      <c r="G353" s="18">
        <f>100%-((F353-H353)/F353)</f>
        <v>0.5124563103832476</v>
      </c>
      <c r="H353" s="216">
        <v>134302.5</v>
      </c>
      <c r="I353" s="249">
        <v>3142</v>
      </c>
      <c r="J353" s="9">
        <v>134302.5</v>
      </c>
      <c r="K353" s="49"/>
      <c r="L353" s="9">
        <v>134302.5</v>
      </c>
      <c r="M353" s="49"/>
      <c r="N353" s="49"/>
      <c r="O353" s="49"/>
      <c r="P353" s="49"/>
      <c r="Q353" s="49"/>
      <c r="R353" s="49"/>
      <c r="S353" s="49"/>
      <c r="T353" s="49"/>
      <c r="U353" s="49"/>
      <c r="V353" s="49"/>
      <c r="W353" s="49">
        <v>134302.5</v>
      </c>
      <c r="X353" s="40">
        <f t="shared" si="32"/>
        <v>0</v>
      </c>
    </row>
    <row r="354" spans="2:24" ht="141.75">
      <c r="B354" s="295"/>
      <c r="C354" s="295"/>
      <c r="D354" s="292"/>
      <c r="E354" s="47" t="s">
        <v>811</v>
      </c>
      <c r="F354" s="45">
        <v>82988</v>
      </c>
      <c r="G354" s="18">
        <f>100%-((F354-H354)/F354)</f>
        <v>1</v>
      </c>
      <c r="H354" s="216">
        <v>82988</v>
      </c>
      <c r="I354" s="249">
        <v>3122</v>
      </c>
      <c r="J354" s="9">
        <v>13335.28</v>
      </c>
      <c r="K354" s="49"/>
      <c r="L354" s="9">
        <v>13335.28</v>
      </c>
      <c r="M354" s="49"/>
      <c r="N354" s="49"/>
      <c r="O354" s="49"/>
      <c r="P354" s="49"/>
      <c r="Q354" s="49"/>
      <c r="R354" s="49"/>
      <c r="S354" s="49"/>
      <c r="T354" s="49"/>
      <c r="U354" s="49"/>
      <c r="V354" s="49"/>
      <c r="W354" s="49">
        <v>13335.28</v>
      </c>
      <c r="X354" s="40">
        <f t="shared" si="32"/>
        <v>0</v>
      </c>
    </row>
    <row r="355" spans="2:24" ht="63">
      <c r="B355" s="295"/>
      <c r="C355" s="295"/>
      <c r="D355" s="292"/>
      <c r="E355" s="64" t="s">
        <v>822</v>
      </c>
      <c r="F355" s="45">
        <v>427228.6</v>
      </c>
      <c r="G355" s="18">
        <f>100%-((F355-H355)/F355)</f>
        <v>0.6818363751864926</v>
      </c>
      <c r="H355" s="216">
        <v>291300</v>
      </c>
      <c r="I355" s="249">
        <v>3142</v>
      </c>
      <c r="J355" s="9">
        <v>97152.67</v>
      </c>
      <c r="K355" s="49"/>
      <c r="L355" s="9">
        <v>97152.67</v>
      </c>
      <c r="M355" s="49"/>
      <c r="N355" s="49"/>
      <c r="O355" s="49"/>
      <c r="P355" s="49"/>
      <c r="Q355" s="49"/>
      <c r="R355" s="49"/>
      <c r="S355" s="49"/>
      <c r="T355" s="49"/>
      <c r="U355" s="49"/>
      <c r="V355" s="49"/>
      <c r="W355" s="49">
        <v>97152.67</v>
      </c>
      <c r="X355" s="40">
        <f t="shared" si="32"/>
        <v>0</v>
      </c>
    </row>
    <row r="356" spans="2:24" ht="31.5">
      <c r="B356" s="295"/>
      <c r="C356" s="295"/>
      <c r="D356" s="292"/>
      <c r="E356" s="64" t="s">
        <v>823</v>
      </c>
      <c r="F356" s="45">
        <v>2452998.6</v>
      </c>
      <c r="G356" s="18">
        <f>100%-((F356-H356)/F356)</f>
        <v>0.9072105463085058</v>
      </c>
      <c r="H356" s="216">
        <v>2225386.2</v>
      </c>
      <c r="I356" s="249">
        <v>3142</v>
      </c>
      <c r="J356" s="9">
        <v>9898.8</v>
      </c>
      <c r="K356" s="49"/>
      <c r="L356" s="9">
        <v>9898.8</v>
      </c>
      <c r="M356" s="49"/>
      <c r="N356" s="49"/>
      <c r="O356" s="49"/>
      <c r="P356" s="49"/>
      <c r="Q356" s="49"/>
      <c r="R356" s="49"/>
      <c r="S356" s="49"/>
      <c r="T356" s="49"/>
      <c r="U356" s="49"/>
      <c r="V356" s="49"/>
      <c r="W356" s="49">
        <v>9898.8</v>
      </c>
      <c r="X356" s="40">
        <f t="shared" si="32"/>
        <v>0</v>
      </c>
    </row>
    <row r="357" spans="2:24" ht="78.75">
      <c r="B357" s="295"/>
      <c r="C357" s="295"/>
      <c r="D357" s="292"/>
      <c r="E357" s="47" t="s">
        <v>826</v>
      </c>
      <c r="F357" s="45">
        <v>1980460</v>
      </c>
      <c r="G357" s="18">
        <f>100%-((F357-H357)/F357)</f>
        <v>0.709939105056401</v>
      </c>
      <c r="H357" s="216">
        <v>1406006</v>
      </c>
      <c r="I357" s="249">
        <v>3142</v>
      </c>
      <c r="J357" s="9">
        <v>138631.42</v>
      </c>
      <c r="K357" s="49"/>
      <c r="L357" s="9">
        <v>138631.42</v>
      </c>
      <c r="M357" s="49"/>
      <c r="N357" s="49"/>
      <c r="O357" s="49"/>
      <c r="P357" s="49"/>
      <c r="Q357" s="49"/>
      <c r="R357" s="49"/>
      <c r="S357" s="49"/>
      <c r="T357" s="49"/>
      <c r="U357" s="49"/>
      <c r="V357" s="49"/>
      <c r="W357" s="49">
        <v>138631.42</v>
      </c>
      <c r="X357" s="40">
        <f t="shared" si="32"/>
        <v>0</v>
      </c>
    </row>
    <row r="358" spans="2:24" ht="31.5">
      <c r="B358" s="295"/>
      <c r="C358" s="295"/>
      <c r="D358" s="292"/>
      <c r="E358" s="47" t="s">
        <v>561</v>
      </c>
      <c r="F358" s="45"/>
      <c r="G358" s="18"/>
      <c r="H358" s="216"/>
      <c r="I358" s="249">
        <v>3142</v>
      </c>
      <c r="J358" s="9">
        <v>380000</v>
      </c>
      <c r="K358" s="49"/>
      <c r="L358" s="49"/>
      <c r="M358" s="49"/>
      <c r="N358" s="49"/>
      <c r="O358" s="49">
        <v>120000</v>
      </c>
      <c r="P358" s="49">
        <f>-60000-60000</f>
        <v>-120000</v>
      </c>
      <c r="Q358" s="49">
        <f>130000+60000+60000</f>
        <v>250000</v>
      </c>
      <c r="R358" s="49">
        <v>130000</v>
      </c>
      <c r="S358" s="49"/>
      <c r="T358" s="49"/>
      <c r="U358" s="49"/>
      <c r="V358" s="49"/>
      <c r="W358" s="49"/>
      <c r="X358" s="40">
        <f t="shared" si="32"/>
        <v>380000</v>
      </c>
    </row>
    <row r="359" spans="2:24" ht="31.5">
      <c r="B359" s="295"/>
      <c r="C359" s="295"/>
      <c r="D359" s="292"/>
      <c r="E359" s="47" t="s">
        <v>562</v>
      </c>
      <c r="F359" s="45"/>
      <c r="G359" s="18"/>
      <c r="H359" s="216"/>
      <c r="I359" s="249">
        <v>3142</v>
      </c>
      <c r="J359" s="9">
        <v>600000</v>
      </c>
      <c r="K359" s="49"/>
      <c r="L359" s="49"/>
      <c r="M359" s="49"/>
      <c r="N359" s="49"/>
      <c r="O359" s="49">
        <v>180000</v>
      </c>
      <c r="P359" s="49">
        <f>60000-60000</f>
        <v>0</v>
      </c>
      <c r="Q359" s="49">
        <f>210000-60000+60000</f>
        <v>210000</v>
      </c>
      <c r="R359" s="49"/>
      <c r="S359" s="49">
        <v>210000</v>
      </c>
      <c r="T359" s="49"/>
      <c r="U359" s="49"/>
      <c r="V359" s="49"/>
      <c r="W359" s="49">
        <f>152703.77</f>
        <v>152703.77</v>
      </c>
      <c r="X359" s="40">
        <f t="shared" si="32"/>
        <v>447296.23</v>
      </c>
    </row>
    <row r="360" spans="2:24" ht="31.5">
      <c r="B360" s="295"/>
      <c r="C360" s="295"/>
      <c r="D360" s="292"/>
      <c r="E360" s="47" t="s">
        <v>594</v>
      </c>
      <c r="F360" s="45"/>
      <c r="G360" s="18"/>
      <c r="H360" s="216"/>
      <c r="I360" s="249">
        <v>3142</v>
      </c>
      <c r="J360" s="9">
        <v>100000</v>
      </c>
      <c r="K360" s="49"/>
      <c r="L360" s="49"/>
      <c r="M360" s="49"/>
      <c r="N360" s="49"/>
      <c r="O360" s="49"/>
      <c r="P360" s="49"/>
      <c r="Q360" s="49"/>
      <c r="R360" s="49"/>
      <c r="S360" s="49">
        <v>100000</v>
      </c>
      <c r="T360" s="49"/>
      <c r="U360" s="49"/>
      <c r="V360" s="49"/>
      <c r="W360" s="49"/>
      <c r="X360" s="40">
        <f t="shared" si="32"/>
        <v>100000</v>
      </c>
    </row>
    <row r="361" spans="2:24" ht="47.25">
      <c r="B361" s="295"/>
      <c r="C361" s="295"/>
      <c r="D361" s="292"/>
      <c r="E361" s="47" t="s">
        <v>787</v>
      </c>
      <c r="F361" s="45"/>
      <c r="G361" s="18"/>
      <c r="H361" s="216"/>
      <c r="I361" s="249">
        <v>3142</v>
      </c>
      <c r="J361" s="9">
        <v>1320</v>
      </c>
      <c r="K361" s="49"/>
      <c r="L361" s="49"/>
      <c r="M361" s="49"/>
      <c r="N361" s="49"/>
      <c r="O361" s="49"/>
      <c r="P361" s="49"/>
      <c r="Q361" s="49"/>
      <c r="R361" s="49"/>
      <c r="S361" s="49">
        <v>1320</v>
      </c>
      <c r="T361" s="49"/>
      <c r="U361" s="49"/>
      <c r="V361" s="49"/>
      <c r="W361" s="49"/>
      <c r="X361" s="40">
        <f t="shared" si="32"/>
        <v>1320</v>
      </c>
    </row>
    <row r="362" spans="2:24" ht="63">
      <c r="B362" s="295"/>
      <c r="C362" s="295"/>
      <c r="D362" s="292"/>
      <c r="E362" s="70" t="s">
        <v>904</v>
      </c>
      <c r="F362" s="45"/>
      <c r="G362" s="18"/>
      <c r="H362" s="216"/>
      <c r="I362" s="249">
        <v>3142</v>
      </c>
      <c r="J362" s="45">
        <f>912000+654000</f>
        <v>1566000</v>
      </c>
      <c r="K362" s="49"/>
      <c r="L362" s="49"/>
      <c r="M362" s="49"/>
      <c r="N362" s="49"/>
      <c r="O362" s="49"/>
      <c r="P362" s="49"/>
      <c r="Q362" s="49"/>
      <c r="R362" s="49"/>
      <c r="S362" s="49"/>
      <c r="T362" s="45">
        <f>912000+654000</f>
        <v>1566000</v>
      </c>
      <c r="U362" s="49"/>
      <c r="V362" s="49"/>
      <c r="W362" s="49"/>
      <c r="X362" s="40">
        <f t="shared" si="32"/>
        <v>1566000</v>
      </c>
    </row>
    <row r="363" spans="2:24" ht="63">
      <c r="B363" s="295"/>
      <c r="C363" s="295"/>
      <c r="D363" s="292"/>
      <c r="E363" s="70" t="s">
        <v>905</v>
      </c>
      <c r="F363" s="45"/>
      <c r="G363" s="18"/>
      <c r="H363" s="216"/>
      <c r="I363" s="249">
        <v>3142</v>
      </c>
      <c r="J363" s="45">
        <f>912000+655000</f>
        <v>1567000</v>
      </c>
      <c r="K363" s="49"/>
      <c r="L363" s="49"/>
      <c r="M363" s="49"/>
      <c r="N363" s="49"/>
      <c r="O363" s="49"/>
      <c r="P363" s="49"/>
      <c r="Q363" s="49"/>
      <c r="R363" s="49"/>
      <c r="S363" s="49"/>
      <c r="T363" s="45">
        <f>912000+655000</f>
        <v>1567000</v>
      </c>
      <c r="U363" s="49"/>
      <c r="V363" s="49"/>
      <c r="W363" s="49"/>
      <c r="X363" s="40">
        <f t="shared" si="32"/>
        <v>1567000</v>
      </c>
    </row>
    <row r="364" spans="2:24" ht="63">
      <c r="B364" s="295"/>
      <c r="C364" s="295"/>
      <c r="D364" s="292"/>
      <c r="E364" s="70" t="s">
        <v>906</v>
      </c>
      <c r="F364" s="45"/>
      <c r="G364" s="18"/>
      <c r="H364" s="216"/>
      <c r="I364" s="249">
        <v>3142</v>
      </c>
      <c r="J364" s="45">
        <f>912000+655000</f>
        <v>1567000</v>
      </c>
      <c r="K364" s="49"/>
      <c r="L364" s="49"/>
      <c r="M364" s="49"/>
      <c r="N364" s="49"/>
      <c r="O364" s="49"/>
      <c r="P364" s="49"/>
      <c r="Q364" s="49"/>
      <c r="R364" s="49"/>
      <c r="S364" s="49"/>
      <c r="T364" s="45">
        <f>912000+655000</f>
        <v>1567000</v>
      </c>
      <c r="U364" s="49"/>
      <c r="V364" s="49"/>
      <c r="W364" s="49"/>
      <c r="X364" s="40">
        <f t="shared" si="32"/>
        <v>1567000</v>
      </c>
    </row>
    <row r="365" spans="2:24" ht="47.25">
      <c r="B365" s="302"/>
      <c r="C365" s="302"/>
      <c r="D365" s="305"/>
      <c r="E365" s="47" t="s">
        <v>297</v>
      </c>
      <c r="F365" s="45"/>
      <c r="G365" s="18"/>
      <c r="H365" s="216"/>
      <c r="I365" s="249">
        <v>3122</v>
      </c>
      <c r="J365" s="9">
        <v>30000</v>
      </c>
      <c r="K365" s="49"/>
      <c r="L365" s="49"/>
      <c r="M365" s="49"/>
      <c r="N365" s="49"/>
      <c r="O365" s="49">
        <v>10000</v>
      </c>
      <c r="P365" s="49"/>
      <c r="Q365" s="49">
        <v>20000</v>
      </c>
      <c r="R365" s="49"/>
      <c r="S365" s="49"/>
      <c r="T365" s="49"/>
      <c r="U365" s="49"/>
      <c r="V365" s="49"/>
      <c r="W365" s="49"/>
      <c r="X365" s="40">
        <f t="shared" si="32"/>
        <v>30000</v>
      </c>
    </row>
    <row r="366" spans="2:24" ht="15.75" customHeight="1">
      <c r="B366" s="301" t="s">
        <v>880</v>
      </c>
      <c r="C366" s="301" t="s">
        <v>411</v>
      </c>
      <c r="D366" s="304" t="s">
        <v>827</v>
      </c>
      <c r="E366" s="70"/>
      <c r="F366" s="45"/>
      <c r="G366" s="18"/>
      <c r="H366" s="216"/>
      <c r="I366" s="249"/>
      <c r="J366" s="185">
        <f>SUM(J367:J372)</f>
        <v>215568.39</v>
      </c>
      <c r="K366" s="185">
        <f aca="true" t="shared" si="33" ref="K366:W366">SUM(K367:K372)</f>
        <v>0</v>
      </c>
      <c r="L366" s="185">
        <f t="shared" si="33"/>
        <v>5568.39</v>
      </c>
      <c r="M366" s="185">
        <f t="shared" si="33"/>
        <v>0</v>
      </c>
      <c r="N366" s="185">
        <f t="shared" si="33"/>
        <v>0</v>
      </c>
      <c r="O366" s="185">
        <f t="shared" si="33"/>
        <v>30000</v>
      </c>
      <c r="P366" s="185">
        <f t="shared" si="33"/>
        <v>10000</v>
      </c>
      <c r="Q366" s="185">
        <f t="shared" si="33"/>
        <v>100000</v>
      </c>
      <c r="R366" s="185">
        <f t="shared" si="33"/>
        <v>0</v>
      </c>
      <c r="S366" s="185">
        <f t="shared" si="33"/>
        <v>2034000</v>
      </c>
      <c r="T366" s="185">
        <f t="shared" si="33"/>
        <v>-1964000</v>
      </c>
      <c r="U366" s="185">
        <f t="shared" si="33"/>
        <v>0</v>
      </c>
      <c r="V366" s="185">
        <f t="shared" si="33"/>
        <v>0</v>
      </c>
      <c r="W366" s="185">
        <f t="shared" si="33"/>
        <v>41037.82</v>
      </c>
      <c r="X366" s="184">
        <f t="shared" si="32"/>
        <v>174530.57000000012</v>
      </c>
    </row>
    <row r="367" spans="2:24" ht="78.75">
      <c r="B367" s="295"/>
      <c r="C367" s="295"/>
      <c r="D367" s="292"/>
      <c r="E367" s="70" t="s">
        <v>828</v>
      </c>
      <c r="F367" s="45">
        <v>5568.39</v>
      </c>
      <c r="G367" s="18">
        <f>100%-((F367-H367)/F367)</f>
        <v>1</v>
      </c>
      <c r="H367" s="216">
        <v>5568.39</v>
      </c>
      <c r="I367" s="249">
        <v>3142</v>
      </c>
      <c r="J367" s="45">
        <v>5568.39</v>
      </c>
      <c r="K367" s="49"/>
      <c r="L367" s="45">
        <v>5568.39</v>
      </c>
      <c r="M367" s="49"/>
      <c r="N367" s="49"/>
      <c r="O367" s="49"/>
      <c r="P367" s="49"/>
      <c r="Q367" s="49"/>
      <c r="R367" s="49"/>
      <c r="S367" s="49"/>
      <c r="T367" s="49"/>
      <c r="U367" s="49"/>
      <c r="V367" s="49"/>
      <c r="W367" s="49">
        <v>5568.39</v>
      </c>
      <c r="X367" s="40">
        <f t="shared" si="32"/>
        <v>0</v>
      </c>
    </row>
    <row r="368" spans="2:24" ht="63">
      <c r="B368" s="295"/>
      <c r="C368" s="295"/>
      <c r="D368" s="292"/>
      <c r="E368" s="70" t="s">
        <v>298</v>
      </c>
      <c r="F368" s="45"/>
      <c r="G368" s="18"/>
      <c r="H368" s="216"/>
      <c r="I368" s="249">
        <v>3142</v>
      </c>
      <c r="J368" s="45">
        <v>60000</v>
      </c>
      <c r="K368" s="49"/>
      <c r="L368" s="49"/>
      <c r="M368" s="49"/>
      <c r="N368" s="49"/>
      <c r="O368" s="49">
        <v>30000</v>
      </c>
      <c r="P368" s="49"/>
      <c r="Q368" s="49">
        <v>30000</v>
      </c>
      <c r="R368" s="49"/>
      <c r="S368" s="49"/>
      <c r="T368" s="49"/>
      <c r="U368" s="49"/>
      <c r="V368" s="49"/>
      <c r="W368" s="49"/>
      <c r="X368" s="40">
        <f t="shared" si="32"/>
        <v>60000</v>
      </c>
    </row>
    <row r="369" spans="2:24" ht="63" hidden="1">
      <c r="B369" s="295"/>
      <c r="C369" s="295"/>
      <c r="D369" s="292"/>
      <c r="E369" s="70" t="s">
        <v>904</v>
      </c>
      <c r="F369" s="45"/>
      <c r="G369" s="18"/>
      <c r="H369" s="216"/>
      <c r="I369" s="249">
        <v>3142</v>
      </c>
      <c r="J369" s="45">
        <f>912000+654000-1566000</f>
        <v>0</v>
      </c>
      <c r="K369" s="49"/>
      <c r="L369" s="49"/>
      <c r="M369" s="49"/>
      <c r="N369" s="49"/>
      <c r="O369" s="49"/>
      <c r="P369" s="49"/>
      <c r="Q369" s="49"/>
      <c r="R369" s="49"/>
      <c r="S369" s="49">
        <v>654000</v>
      </c>
      <c r="T369" s="49">
        <f>912000-1566000</f>
        <v>-654000</v>
      </c>
      <c r="U369" s="49"/>
      <c r="V369" s="49"/>
      <c r="W369" s="49"/>
      <c r="X369" s="40">
        <f t="shared" si="32"/>
        <v>0</v>
      </c>
    </row>
    <row r="370" spans="2:24" ht="63" hidden="1">
      <c r="B370" s="295"/>
      <c r="C370" s="295"/>
      <c r="D370" s="292"/>
      <c r="E370" s="70" t="s">
        <v>905</v>
      </c>
      <c r="F370" s="45"/>
      <c r="G370" s="18"/>
      <c r="H370" s="216"/>
      <c r="I370" s="249">
        <v>3142</v>
      </c>
      <c r="J370" s="45">
        <f>912000+655000-1567000</f>
        <v>0</v>
      </c>
      <c r="K370" s="49"/>
      <c r="L370" s="49"/>
      <c r="M370" s="49"/>
      <c r="N370" s="49"/>
      <c r="O370" s="49"/>
      <c r="P370" s="49"/>
      <c r="Q370" s="49"/>
      <c r="R370" s="49"/>
      <c r="S370" s="49">
        <v>655000</v>
      </c>
      <c r="T370" s="49">
        <f>912000-1567000</f>
        <v>-655000</v>
      </c>
      <c r="U370" s="49"/>
      <c r="V370" s="49"/>
      <c r="W370" s="49"/>
      <c r="X370" s="40">
        <f t="shared" si="32"/>
        <v>0</v>
      </c>
    </row>
    <row r="371" spans="2:24" ht="63" hidden="1">
      <c r="B371" s="295"/>
      <c r="C371" s="295"/>
      <c r="D371" s="292"/>
      <c r="E371" s="70" t="s">
        <v>906</v>
      </c>
      <c r="F371" s="45"/>
      <c r="G371" s="18"/>
      <c r="H371" s="216"/>
      <c r="I371" s="249">
        <v>3142</v>
      </c>
      <c r="J371" s="45">
        <f>912000+655000-1567000</f>
        <v>0</v>
      </c>
      <c r="K371" s="49"/>
      <c r="L371" s="49"/>
      <c r="M371" s="49"/>
      <c r="N371" s="49"/>
      <c r="O371" s="49"/>
      <c r="P371" s="49"/>
      <c r="Q371" s="49"/>
      <c r="R371" s="49"/>
      <c r="S371" s="49">
        <v>655000</v>
      </c>
      <c r="T371" s="49">
        <f>912000-1567000</f>
        <v>-655000</v>
      </c>
      <c r="U371" s="49"/>
      <c r="V371" s="49"/>
      <c r="W371" s="49"/>
      <c r="X371" s="40">
        <f t="shared" si="32"/>
        <v>0</v>
      </c>
    </row>
    <row r="372" spans="2:24" ht="31.5">
      <c r="B372" s="302"/>
      <c r="C372" s="302"/>
      <c r="D372" s="305"/>
      <c r="E372" s="70" t="s">
        <v>148</v>
      </c>
      <c r="F372" s="45"/>
      <c r="G372" s="18"/>
      <c r="H372" s="216"/>
      <c r="I372" s="249">
        <v>3142</v>
      </c>
      <c r="J372" s="45">
        <v>150000</v>
      </c>
      <c r="K372" s="49"/>
      <c r="L372" s="49"/>
      <c r="M372" s="49"/>
      <c r="N372" s="49"/>
      <c r="O372" s="49"/>
      <c r="P372" s="49">
        <v>10000</v>
      </c>
      <c r="Q372" s="49">
        <v>70000</v>
      </c>
      <c r="R372" s="49"/>
      <c r="S372" s="49">
        <v>70000</v>
      </c>
      <c r="T372" s="49"/>
      <c r="U372" s="49"/>
      <c r="V372" s="49"/>
      <c r="W372" s="49">
        <f>10115.25+1504.18+23850</f>
        <v>35469.43</v>
      </c>
      <c r="X372" s="40">
        <f t="shared" si="32"/>
        <v>114530.57</v>
      </c>
    </row>
    <row r="373" spans="2:24" ht="15.75">
      <c r="B373" s="308" t="s">
        <v>875</v>
      </c>
      <c r="C373" s="308" t="s">
        <v>699</v>
      </c>
      <c r="D373" s="304" t="s">
        <v>326</v>
      </c>
      <c r="E373" s="70"/>
      <c r="F373" s="45"/>
      <c r="G373" s="18"/>
      <c r="H373" s="216"/>
      <c r="I373" s="249"/>
      <c r="J373" s="185">
        <f>J378+J384+J389+J374</f>
        <v>2491339.75</v>
      </c>
      <c r="K373" s="185">
        <f aca="true" t="shared" si="34" ref="K373:W373">K378+K384+K389+K374</f>
        <v>0</v>
      </c>
      <c r="L373" s="185">
        <f t="shared" si="34"/>
        <v>0</v>
      </c>
      <c r="M373" s="185">
        <f t="shared" si="34"/>
        <v>0</v>
      </c>
      <c r="N373" s="185">
        <f t="shared" si="34"/>
        <v>0</v>
      </c>
      <c r="O373" s="185">
        <f t="shared" si="34"/>
        <v>853339.75</v>
      </c>
      <c r="P373" s="185">
        <f t="shared" si="34"/>
        <v>561200</v>
      </c>
      <c r="Q373" s="185">
        <f t="shared" si="34"/>
        <v>661800</v>
      </c>
      <c r="R373" s="185">
        <f t="shared" si="34"/>
        <v>45000</v>
      </c>
      <c r="S373" s="185">
        <f t="shared" si="34"/>
        <v>370000</v>
      </c>
      <c r="T373" s="185">
        <f t="shared" si="34"/>
        <v>0</v>
      </c>
      <c r="U373" s="185">
        <f t="shared" si="34"/>
        <v>0</v>
      </c>
      <c r="V373" s="185">
        <f t="shared" si="34"/>
        <v>0</v>
      </c>
      <c r="W373" s="185">
        <f t="shared" si="34"/>
        <v>2138357.65</v>
      </c>
      <c r="X373" s="184">
        <f t="shared" si="32"/>
        <v>352982.1000000001</v>
      </c>
    </row>
    <row r="374" spans="2:24" ht="31.5">
      <c r="B374" s="325"/>
      <c r="C374" s="325"/>
      <c r="D374" s="292"/>
      <c r="E374" s="83" t="s">
        <v>500</v>
      </c>
      <c r="F374" s="71"/>
      <c r="G374" s="84"/>
      <c r="H374" s="221"/>
      <c r="I374" s="253"/>
      <c r="J374" s="71">
        <f>SUM(J375:J377)</f>
        <v>800000</v>
      </c>
      <c r="K374" s="71">
        <f aca="true" t="shared" si="35" ref="K374:W374">SUM(K375:K377)</f>
        <v>0</v>
      </c>
      <c r="L374" s="71">
        <f t="shared" si="35"/>
        <v>0</v>
      </c>
      <c r="M374" s="71">
        <f t="shared" si="35"/>
        <v>0</v>
      </c>
      <c r="N374" s="71">
        <f t="shared" si="35"/>
        <v>0</v>
      </c>
      <c r="O374" s="71">
        <f t="shared" si="35"/>
        <v>30000</v>
      </c>
      <c r="P374" s="71">
        <f t="shared" si="35"/>
        <v>200000</v>
      </c>
      <c r="Q374" s="71">
        <f t="shared" si="35"/>
        <v>410000</v>
      </c>
      <c r="R374" s="71">
        <f t="shared" si="35"/>
        <v>0</v>
      </c>
      <c r="S374" s="71">
        <f t="shared" si="35"/>
        <v>160000</v>
      </c>
      <c r="T374" s="71">
        <f t="shared" si="35"/>
        <v>0</v>
      </c>
      <c r="U374" s="71">
        <f t="shared" si="35"/>
        <v>0</v>
      </c>
      <c r="V374" s="71">
        <f t="shared" si="35"/>
        <v>0</v>
      </c>
      <c r="W374" s="71">
        <f t="shared" si="35"/>
        <v>649947.2</v>
      </c>
      <c r="X374" s="40">
        <f t="shared" si="32"/>
        <v>150052.80000000005</v>
      </c>
    </row>
    <row r="375" spans="2:24" ht="47.25">
      <c r="B375" s="325"/>
      <c r="C375" s="325"/>
      <c r="D375" s="292"/>
      <c r="E375" s="10" t="s">
        <v>501</v>
      </c>
      <c r="F375" s="45"/>
      <c r="G375" s="18"/>
      <c r="H375" s="216"/>
      <c r="I375" s="249">
        <v>3210</v>
      </c>
      <c r="J375" s="45">
        <v>500000</v>
      </c>
      <c r="K375" s="49"/>
      <c r="L375" s="49"/>
      <c r="M375" s="49"/>
      <c r="N375" s="49"/>
      <c r="O375" s="49">
        <v>10000</v>
      </c>
      <c r="P375" s="49">
        <v>200000</v>
      </c>
      <c r="Q375" s="49">
        <f>10000+280000</f>
        <v>290000</v>
      </c>
      <c r="R375" s="49"/>
      <c r="S375" s="49">
        <f>150000-150000</f>
        <v>0</v>
      </c>
      <c r="T375" s="49">
        <f>330000-50000-280000</f>
        <v>0</v>
      </c>
      <c r="U375" s="49"/>
      <c r="V375" s="49"/>
      <c r="W375" s="49">
        <f>2880+146429.4-15.84+341631.64+9022</f>
        <v>499947.2</v>
      </c>
      <c r="X375" s="40">
        <f t="shared" si="32"/>
        <v>52.79999999998836</v>
      </c>
    </row>
    <row r="376" spans="2:24" ht="47.25">
      <c r="B376" s="325"/>
      <c r="C376" s="325"/>
      <c r="D376" s="292"/>
      <c r="E376" s="10" t="s">
        <v>502</v>
      </c>
      <c r="F376" s="45"/>
      <c r="G376" s="18"/>
      <c r="H376" s="216"/>
      <c r="I376" s="249">
        <v>3210</v>
      </c>
      <c r="J376" s="45">
        <v>150000</v>
      </c>
      <c r="K376" s="49"/>
      <c r="L376" s="49"/>
      <c r="M376" s="49"/>
      <c r="N376" s="49"/>
      <c r="O376" s="49">
        <v>10000</v>
      </c>
      <c r="P376" s="49"/>
      <c r="Q376" s="49">
        <f>10000+50000</f>
        <v>60000</v>
      </c>
      <c r="R376" s="49"/>
      <c r="S376" s="49">
        <f>50000-50000+80000</f>
        <v>80000</v>
      </c>
      <c r="T376" s="49">
        <f>80000-80000</f>
        <v>0</v>
      </c>
      <c r="U376" s="49"/>
      <c r="V376" s="49"/>
      <c r="W376" s="49"/>
      <c r="X376" s="40">
        <f t="shared" si="32"/>
        <v>150000</v>
      </c>
    </row>
    <row r="377" spans="2:24" ht="63">
      <c r="B377" s="325"/>
      <c r="C377" s="325"/>
      <c r="D377" s="292"/>
      <c r="E377" s="12" t="s">
        <v>186</v>
      </c>
      <c r="F377" s="45"/>
      <c r="G377" s="18"/>
      <c r="H377" s="216"/>
      <c r="I377" s="249">
        <v>3210</v>
      </c>
      <c r="J377" s="45">
        <v>150000</v>
      </c>
      <c r="K377" s="49"/>
      <c r="L377" s="49"/>
      <c r="M377" s="49"/>
      <c r="N377" s="49"/>
      <c r="O377" s="49">
        <v>10000</v>
      </c>
      <c r="P377" s="49"/>
      <c r="Q377" s="49">
        <f>10000+50000</f>
        <v>60000</v>
      </c>
      <c r="R377" s="49"/>
      <c r="S377" s="49">
        <f>50000-50000+80000</f>
        <v>80000</v>
      </c>
      <c r="T377" s="49">
        <f>80000-80000</f>
        <v>0</v>
      </c>
      <c r="U377" s="49"/>
      <c r="V377" s="49"/>
      <c r="W377" s="49">
        <f>2880+43344.9+23775+80000.1</f>
        <v>150000</v>
      </c>
      <c r="X377" s="40">
        <f t="shared" si="32"/>
        <v>0</v>
      </c>
    </row>
    <row r="378" spans="2:24" ht="31.5">
      <c r="B378" s="325"/>
      <c r="C378" s="325"/>
      <c r="D378" s="292"/>
      <c r="E378" s="85" t="s">
        <v>847</v>
      </c>
      <c r="F378" s="49"/>
      <c r="G378" s="86"/>
      <c r="H378" s="220"/>
      <c r="I378" s="249"/>
      <c r="J378" s="26">
        <f>SUM(J379:J383)</f>
        <v>831800</v>
      </c>
      <c r="K378" s="26">
        <f aca="true" t="shared" si="36" ref="K378:W378">SUM(K379:K383)</f>
        <v>0</v>
      </c>
      <c r="L378" s="26">
        <f t="shared" si="36"/>
        <v>0</v>
      </c>
      <c r="M378" s="26">
        <f t="shared" si="36"/>
        <v>0</v>
      </c>
      <c r="N378" s="26">
        <f t="shared" si="36"/>
        <v>0</v>
      </c>
      <c r="O378" s="26">
        <f t="shared" si="36"/>
        <v>153800</v>
      </c>
      <c r="P378" s="26">
        <f t="shared" si="36"/>
        <v>346200</v>
      </c>
      <c r="Q378" s="26">
        <f t="shared" si="36"/>
        <v>251800</v>
      </c>
      <c r="R378" s="26">
        <f t="shared" si="36"/>
        <v>0</v>
      </c>
      <c r="S378" s="26">
        <f t="shared" si="36"/>
        <v>80000</v>
      </c>
      <c r="T378" s="26">
        <f t="shared" si="36"/>
        <v>0</v>
      </c>
      <c r="U378" s="26">
        <f t="shared" si="36"/>
        <v>0</v>
      </c>
      <c r="V378" s="26">
        <f t="shared" si="36"/>
        <v>0</v>
      </c>
      <c r="W378" s="26">
        <f t="shared" si="36"/>
        <v>718889.7</v>
      </c>
      <c r="X378" s="40">
        <f t="shared" si="32"/>
        <v>112910.30000000005</v>
      </c>
    </row>
    <row r="379" spans="2:24" ht="15.75">
      <c r="B379" s="325"/>
      <c r="C379" s="325"/>
      <c r="D379" s="292"/>
      <c r="E379" s="87" t="s">
        <v>848</v>
      </c>
      <c r="F379" s="49"/>
      <c r="G379" s="86"/>
      <c r="H379" s="220"/>
      <c r="I379" s="249">
        <v>3210</v>
      </c>
      <c r="J379" s="9">
        <f>500000-1430</f>
        <v>498570</v>
      </c>
      <c r="K379" s="49"/>
      <c r="L379" s="49"/>
      <c r="M379" s="49"/>
      <c r="N379" s="49"/>
      <c r="O379" s="49"/>
      <c r="P379" s="49">
        <v>500000</v>
      </c>
      <c r="Q379" s="49">
        <f>500000-500000</f>
        <v>0</v>
      </c>
      <c r="R379" s="49"/>
      <c r="S379" s="49">
        <v>-1430</v>
      </c>
      <c r="T379" s="49"/>
      <c r="U379" s="49"/>
      <c r="V379" s="49"/>
      <c r="W379" s="49">
        <v>498570</v>
      </c>
      <c r="X379" s="40">
        <f t="shared" si="32"/>
        <v>0</v>
      </c>
    </row>
    <row r="380" spans="2:24" ht="31.5">
      <c r="B380" s="325"/>
      <c r="C380" s="325"/>
      <c r="D380" s="292"/>
      <c r="E380" s="87" t="s">
        <v>849</v>
      </c>
      <c r="F380" s="49"/>
      <c r="G380" s="86"/>
      <c r="H380" s="220"/>
      <c r="I380" s="249">
        <v>3210</v>
      </c>
      <c r="J380" s="9">
        <v>98000</v>
      </c>
      <c r="K380" s="49"/>
      <c r="L380" s="49"/>
      <c r="M380" s="49"/>
      <c r="N380" s="49"/>
      <c r="O380" s="49"/>
      <c r="P380" s="49">
        <f>98000-98000</f>
        <v>0</v>
      </c>
      <c r="Q380" s="49">
        <v>98000</v>
      </c>
      <c r="R380" s="49"/>
      <c r="S380" s="49"/>
      <c r="T380" s="49"/>
      <c r="U380" s="49"/>
      <c r="V380" s="49"/>
      <c r="W380" s="49">
        <f>12326.91+28762.79</f>
        <v>41089.7</v>
      </c>
      <c r="X380" s="40">
        <f t="shared" si="32"/>
        <v>56910.3</v>
      </c>
    </row>
    <row r="381" spans="2:24" ht="15.75">
      <c r="B381" s="325"/>
      <c r="C381" s="325"/>
      <c r="D381" s="292"/>
      <c r="E381" s="47" t="s">
        <v>529</v>
      </c>
      <c r="F381" s="49"/>
      <c r="G381" s="86"/>
      <c r="H381" s="220"/>
      <c r="I381" s="249">
        <v>3210</v>
      </c>
      <c r="J381" s="9">
        <v>35955</v>
      </c>
      <c r="K381" s="49"/>
      <c r="L381" s="49"/>
      <c r="M381" s="49"/>
      <c r="N381" s="49"/>
      <c r="O381" s="49"/>
      <c r="P381" s="49"/>
      <c r="Q381" s="49"/>
      <c r="R381" s="49"/>
      <c r="S381" s="49">
        <v>35955</v>
      </c>
      <c r="T381" s="49"/>
      <c r="U381" s="49"/>
      <c r="V381" s="49"/>
      <c r="W381" s="49">
        <v>35955</v>
      </c>
      <c r="X381" s="40">
        <f t="shared" si="32"/>
        <v>0</v>
      </c>
    </row>
    <row r="382" spans="2:24" ht="31.5">
      <c r="B382" s="325"/>
      <c r="C382" s="325"/>
      <c r="D382" s="292"/>
      <c r="E382" s="47" t="s">
        <v>530</v>
      </c>
      <c r="F382" s="49"/>
      <c r="G382" s="86"/>
      <c r="H382" s="220"/>
      <c r="I382" s="249">
        <v>3210</v>
      </c>
      <c r="J382" s="9">
        <v>80000</v>
      </c>
      <c r="K382" s="49"/>
      <c r="L382" s="49"/>
      <c r="M382" s="49"/>
      <c r="N382" s="49"/>
      <c r="O382" s="49"/>
      <c r="P382" s="49"/>
      <c r="Q382" s="49"/>
      <c r="R382" s="49"/>
      <c r="S382" s="49">
        <v>80000</v>
      </c>
      <c r="T382" s="49"/>
      <c r="U382" s="49"/>
      <c r="V382" s="49"/>
      <c r="W382" s="49">
        <v>24000</v>
      </c>
      <c r="X382" s="40">
        <f t="shared" si="32"/>
        <v>56000</v>
      </c>
    </row>
    <row r="383" spans="2:24" ht="47.25">
      <c r="B383" s="325"/>
      <c r="C383" s="325"/>
      <c r="D383" s="292"/>
      <c r="E383" s="47" t="s">
        <v>850</v>
      </c>
      <c r="F383" s="49"/>
      <c r="G383" s="86"/>
      <c r="H383" s="220"/>
      <c r="I383" s="249">
        <v>3210</v>
      </c>
      <c r="J383" s="9">
        <f>153800-34525</f>
        <v>119275</v>
      </c>
      <c r="K383" s="49"/>
      <c r="L383" s="49"/>
      <c r="M383" s="49"/>
      <c r="N383" s="49"/>
      <c r="O383" s="49">
        <v>153800</v>
      </c>
      <c r="P383" s="49">
        <v>-153800</v>
      </c>
      <c r="Q383" s="49">
        <v>153800</v>
      </c>
      <c r="R383" s="49"/>
      <c r="S383" s="49">
        <v>-34525</v>
      </c>
      <c r="T383" s="49"/>
      <c r="U383" s="49"/>
      <c r="V383" s="49"/>
      <c r="W383" s="49">
        <v>119275</v>
      </c>
      <c r="X383" s="40">
        <f t="shared" si="32"/>
        <v>0</v>
      </c>
    </row>
    <row r="384" spans="2:24" ht="31.5">
      <c r="B384" s="325"/>
      <c r="C384" s="325"/>
      <c r="D384" s="292"/>
      <c r="E384" s="85" t="s">
        <v>851</v>
      </c>
      <c r="F384" s="49"/>
      <c r="G384" s="86"/>
      <c r="H384" s="220"/>
      <c r="I384" s="249"/>
      <c r="J384" s="26">
        <f>SUM(J385:J388)</f>
        <v>859539.75</v>
      </c>
      <c r="K384" s="26">
        <f aca="true" t="shared" si="37" ref="K384:W384">SUM(K385:K388)</f>
        <v>0</v>
      </c>
      <c r="L384" s="26">
        <f t="shared" si="37"/>
        <v>0</v>
      </c>
      <c r="M384" s="26">
        <f t="shared" si="37"/>
        <v>0</v>
      </c>
      <c r="N384" s="26">
        <f t="shared" si="37"/>
        <v>0</v>
      </c>
      <c r="O384" s="26">
        <f t="shared" si="37"/>
        <v>659539.75</v>
      </c>
      <c r="P384" s="26">
        <f t="shared" si="37"/>
        <v>25000</v>
      </c>
      <c r="Q384" s="26">
        <f t="shared" si="37"/>
        <v>0</v>
      </c>
      <c r="R384" s="26">
        <f t="shared" si="37"/>
        <v>45000</v>
      </c>
      <c r="S384" s="26">
        <f t="shared" si="37"/>
        <v>130000</v>
      </c>
      <c r="T384" s="26">
        <f t="shared" si="37"/>
        <v>0</v>
      </c>
      <c r="U384" s="26">
        <f t="shared" si="37"/>
        <v>0</v>
      </c>
      <c r="V384" s="26">
        <f t="shared" si="37"/>
        <v>0</v>
      </c>
      <c r="W384" s="26">
        <f t="shared" si="37"/>
        <v>769520.75</v>
      </c>
      <c r="X384" s="40">
        <f t="shared" si="32"/>
        <v>90019</v>
      </c>
    </row>
    <row r="385" spans="2:24" ht="94.5">
      <c r="B385" s="325"/>
      <c r="C385" s="325"/>
      <c r="D385" s="292"/>
      <c r="E385" s="47" t="s">
        <v>24</v>
      </c>
      <c r="F385" s="49"/>
      <c r="G385" s="86"/>
      <c r="H385" s="220"/>
      <c r="I385" s="249">
        <v>3210</v>
      </c>
      <c r="J385" s="9">
        <v>237025.75</v>
      </c>
      <c r="K385" s="49"/>
      <c r="L385" s="49"/>
      <c r="M385" s="49"/>
      <c r="N385" s="49"/>
      <c r="O385" s="49">
        <v>237025.75</v>
      </c>
      <c r="P385" s="49"/>
      <c r="Q385" s="49"/>
      <c r="R385" s="49"/>
      <c r="S385" s="49"/>
      <c r="T385" s="49"/>
      <c r="U385" s="49"/>
      <c r="V385" s="49"/>
      <c r="W385" s="49">
        <v>237025.75</v>
      </c>
      <c r="X385" s="40">
        <f t="shared" si="32"/>
        <v>0</v>
      </c>
    </row>
    <row r="386" spans="2:24" ht="78.75">
      <c r="B386" s="325"/>
      <c r="C386" s="325"/>
      <c r="D386" s="292"/>
      <c r="E386" s="47" t="s">
        <v>25</v>
      </c>
      <c r="F386" s="49"/>
      <c r="G386" s="86"/>
      <c r="H386" s="220"/>
      <c r="I386" s="249">
        <v>3210</v>
      </c>
      <c r="J386" s="9">
        <v>412514</v>
      </c>
      <c r="K386" s="49"/>
      <c r="L386" s="49"/>
      <c r="M386" s="49"/>
      <c r="N386" s="49"/>
      <c r="O386" s="49">
        <v>412514</v>
      </c>
      <c r="P386" s="49"/>
      <c r="Q386" s="49"/>
      <c r="R386" s="49"/>
      <c r="S386" s="49"/>
      <c r="T386" s="49"/>
      <c r="U386" s="49"/>
      <c r="V386" s="49"/>
      <c r="W386" s="49">
        <v>412514</v>
      </c>
      <c r="X386" s="40">
        <f t="shared" si="32"/>
        <v>0</v>
      </c>
    </row>
    <row r="387" spans="2:24" ht="31.5">
      <c r="B387" s="325"/>
      <c r="C387" s="325"/>
      <c r="D387" s="292"/>
      <c r="E387" s="47" t="s">
        <v>317</v>
      </c>
      <c r="F387" s="49"/>
      <c r="G387" s="86"/>
      <c r="H387" s="220"/>
      <c r="I387" s="249">
        <v>3210</v>
      </c>
      <c r="J387" s="9">
        <v>130000</v>
      </c>
      <c r="K387" s="49"/>
      <c r="L387" s="49"/>
      <c r="M387" s="49"/>
      <c r="N387" s="49"/>
      <c r="O387" s="49"/>
      <c r="P387" s="49"/>
      <c r="Q387" s="49"/>
      <c r="R387" s="49"/>
      <c r="S387" s="49">
        <v>130000</v>
      </c>
      <c r="T387" s="49"/>
      <c r="U387" s="49"/>
      <c r="V387" s="49"/>
      <c r="W387" s="49">
        <v>119981</v>
      </c>
      <c r="X387" s="40">
        <f t="shared" si="32"/>
        <v>10019</v>
      </c>
    </row>
    <row r="388" spans="2:24" ht="47.25">
      <c r="B388" s="325"/>
      <c r="C388" s="325"/>
      <c r="D388" s="292"/>
      <c r="E388" s="31" t="s">
        <v>404</v>
      </c>
      <c r="F388" s="49"/>
      <c r="G388" s="86"/>
      <c r="H388" s="220"/>
      <c r="I388" s="249">
        <v>3210</v>
      </c>
      <c r="J388" s="21">
        <v>80000</v>
      </c>
      <c r="K388" s="49"/>
      <c r="L388" s="49"/>
      <c r="M388" s="49"/>
      <c r="N388" s="49"/>
      <c r="O388" s="49">
        <v>10000</v>
      </c>
      <c r="P388" s="49">
        <v>25000</v>
      </c>
      <c r="Q388" s="49"/>
      <c r="R388" s="49">
        <v>45000</v>
      </c>
      <c r="S388" s="49"/>
      <c r="T388" s="49"/>
      <c r="U388" s="49"/>
      <c r="V388" s="49"/>
      <c r="W388" s="49"/>
      <c r="X388" s="40">
        <f t="shared" si="32"/>
        <v>80000</v>
      </c>
    </row>
    <row r="389" spans="2:24" ht="47.25" hidden="1">
      <c r="B389" s="325"/>
      <c r="C389" s="325"/>
      <c r="D389" s="292"/>
      <c r="E389" s="83" t="s">
        <v>405</v>
      </c>
      <c r="F389" s="71"/>
      <c r="G389" s="84"/>
      <c r="H389" s="221"/>
      <c r="I389" s="249"/>
      <c r="J389" s="71">
        <f>J390</f>
        <v>0</v>
      </c>
      <c r="K389" s="71">
        <f aca="true" t="shared" si="38" ref="K389:W389">K390</f>
        <v>0</v>
      </c>
      <c r="L389" s="71">
        <f t="shared" si="38"/>
        <v>0</v>
      </c>
      <c r="M389" s="71">
        <f t="shared" si="38"/>
        <v>0</v>
      </c>
      <c r="N389" s="71">
        <f t="shared" si="38"/>
        <v>0</v>
      </c>
      <c r="O389" s="71">
        <f t="shared" si="38"/>
        <v>10000</v>
      </c>
      <c r="P389" s="71">
        <f t="shared" si="38"/>
        <v>-10000</v>
      </c>
      <c r="Q389" s="71">
        <f t="shared" si="38"/>
        <v>0</v>
      </c>
      <c r="R389" s="71">
        <f t="shared" si="38"/>
        <v>0</v>
      </c>
      <c r="S389" s="71">
        <f t="shared" si="38"/>
        <v>0</v>
      </c>
      <c r="T389" s="71">
        <f t="shared" si="38"/>
        <v>0</v>
      </c>
      <c r="U389" s="71">
        <f t="shared" si="38"/>
        <v>0</v>
      </c>
      <c r="V389" s="71">
        <f t="shared" si="38"/>
        <v>0</v>
      </c>
      <c r="W389" s="71">
        <f t="shared" si="38"/>
        <v>0</v>
      </c>
      <c r="X389" s="40">
        <f t="shared" si="32"/>
        <v>0</v>
      </c>
    </row>
    <row r="390" spans="2:24" ht="47.25" hidden="1">
      <c r="B390" s="325"/>
      <c r="C390" s="325"/>
      <c r="D390" s="292"/>
      <c r="E390" s="31" t="s">
        <v>580</v>
      </c>
      <c r="F390" s="49"/>
      <c r="G390" s="86"/>
      <c r="H390" s="220"/>
      <c r="I390" s="249">
        <v>3210</v>
      </c>
      <c r="J390" s="21">
        <f>80000-80000</f>
        <v>0</v>
      </c>
      <c r="K390" s="49"/>
      <c r="L390" s="49"/>
      <c r="M390" s="49"/>
      <c r="N390" s="49"/>
      <c r="O390" s="49">
        <v>10000</v>
      </c>
      <c r="P390" s="49">
        <f>25000-35000</f>
        <v>-10000</v>
      </c>
      <c r="Q390" s="49"/>
      <c r="R390" s="49">
        <f>45000-45000</f>
        <v>0</v>
      </c>
      <c r="S390" s="49"/>
      <c r="T390" s="49"/>
      <c r="U390" s="49"/>
      <c r="V390" s="49"/>
      <c r="W390" s="49"/>
      <c r="X390" s="40">
        <f t="shared" si="32"/>
        <v>0</v>
      </c>
    </row>
    <row r="391" spans="2:24" ht="15.75">
      <c r="B391" s="188"/>
      <c r="C391" s="194"/>
      <c r="D391" s="297" t="s">
        <v>814</v>
      </c>
      <c r="E391" s="298"/>
      <c r="F391" s="100"/>
      <c r="G391" s="101"/>
      <c r="H391" s="223"/>
      <c r="I391" s="254"/>
      <c r="J391" s="43">
        <f aca="true" t="shared" si="39" ref="J391:W391">J392+J447+J473+J505+J510</f>
        <v>21291720.73</v>
      </c>
      <c r="K391" s="43">
        <f t="shared" si="39"/>
        <v>0</v>
      </c>
      <c r="L391" s="43">
        <f t="shared" si="39"/>
        <v>1404653.81</v>
      </c>
      <c r="M391" s="43">
        <f t="shared" si="39"/>
        <v>562839</v>
      </c>
      <c r="N391" s="43">
        <f t="shared" si="39"/>
        <v>10500</v>
      </c>
      <c r="O391" s="43">
        <f t="shared" si="39"/>
        <v>1830718</v>
      </c>
      <c r="P391" s="43">
        <f t="shared" si="39"/>
        <v>1461150</v>
      </c>
      <c r="Q391" s="43">
        <f t="shared" si="39"/>
        <v>1405509</v>
      </c>
      <c r="R391" s="43">
        <f t="shared" si="39"/>
        <v>8089810.529999999</v>
      </c>
      <c r="S391" s="43">
        <f t="shared" si="39"/>
        <v>5578493.99</v>
      </c>
      <c r="T391" s="43">
        <f t="shared" si="39"/>
        <v>948046.4</v>
      </c>
      <c r="U391" s="43">
        <f t="shared" si="39"/>
        <v>0</v>
      </c>
      <c r="V391" s="43">
        <f t="shared" si="39"/>
        <v>0</v>
      </c>
      <c r="W391" s="43">
        <f t="shared" si="39"/>
        <v>9315007.67</v>
      </c>
      <c r="X391" s="60">
        <f t="shared" si="32"/>
        <v>11976713.059999997</v>
      </c>
    </row>
    <row r="392" spans="2:24" ht="15.75">
      <c r="B392" s="301" t="s">
        <v>881</v>
      </c>
      <c r="C392" s="301" t="s">
        <v>232</v>
      </c>
      <c r="D392" s="304" t="s">
        <v>829</v>
      </c>
      <c r="E392" s="94"/>
      <c r="F392" s="76"/>
      <c r="G392" s="99"/>
      <c r="H392" s="224"/>
      <c r="I392" s="255"/>
      <c r="J392" s="211">
        <f>J393+J394+J395+J399+J400+J401+J402+J403+J404+J409+J414+J420+J421+J431+J432+J434+J435+J436+J437+J438+J439+J440+J441+J405+J406+J407+J433+J446+J442+J408+J443+J444+J445</f>
        <v>9612855.57</v>
      </c>
      <c r="K392" s="211">
        <f aca="true" t="shared" si="40" ref="K392:W392">K393+K394+K395+K399+K400+K401+K402+K403+K404+K409+K414+K420+K421+K431+K432+K434+K435+K436+K437+K438+K439+K440+K441+K405+K406+K407+K433+K446+K442+K408+K443+K444+K445</f>
        <v>0</v>
      </c>
      <c r="L392" s="211">
        <f t="shared" si="40"/>
        <v>370514.57</v>
      </c>
      <c r="M392" s="211">
        <f t="shared" si="40"/>
        <v>558900</v>
      </c>
      <c r="N392" s="211">
        <f t="shared" si="40"/>
        <v>10500</v>
      </c>
      <c r="O392" s="211">
        <f t="shared" si="40"/>
        <v>1344096</v>
      </c>
      <c r="P392" s="211">
        <f t="shared" si="40"/>
        <v>640910</v>
      </c>
      <c r="Q392" s="211">
        <f t="shared" si="40"/>
        <v>450509</v>
      </c>
      <c r="R392" s="211">
        <f t="shared" si="40"/>
        <v>4332506</v>
      </c>
      <c r="S392" s="211">
        <f t="shared" si="40"/>
        <v>1704920</v>
      </c>
      <c r="T392" s="211">
        <f t="shared" si="40"/>
        <v>200000</v>
      </c>
      <c r="U392" s="211">
        <f t="shared" si="40"/>
        <v>0</v>
      </c>
      <c r="V392" s="211">
        <f t="shared" si="40"/>
        <v>0</v>
      </c>
      <c r="W392" s="211">
        <f t="shared" si="40"/>
        <v>4798893.1899999995</v>
      </c>
      <c r="X392" s="184">
        <f t="shared" si="32"/>
        <v>4813962.380000001</v>
      </c>
    </row>
    <row r="393" spans="2:24" ht="78.75">
      <c r="B393" s="295"/>
      <c r="C393" s="295"/>
      <c r="D393" s="292"/>
      <c r="E393" s="19" t="s">
        <v>830</v>
      </c>
      <c r="F393" s="76">
        <v>932964</v>
      </c>
      <c r="G393" s="18">
        <f>100%-((F393-H393)/F393)</f>
        <v>0.8011048657826025</v>
      </c>
      <c r="H393" s="224">
        <v>747402</v>
      </c>
      <c r="I393" s="255">
        <v>3132</v>
      </c>
      <c r="J393" s="9">
        <v>111226.2</v>
      </c>
      <c r="K393" s="49"/>
      <c r="L393" s="9">
        <v>111226.2</v>
      </c>
      <c r="M393" s="49"/>
      <c r="N393" s="49"/>
      <c r="O393" s="49"/>
      <c r="P393" s="49"/>
      <c r="Q393" s="49"/>
      <c r="R393" s="49"/>
      <c r="S393" s="49"/>
      <c r="T393" s="49"/>
      <c r="U393" s="49"/>
      <c r="V393" s="49"/>
      <c r="W393" s="9">
        <v>111226.2</v>
      </c>
      <c r="X393" s="40">
        <f t="shared" si="32"/>
        <v>0</v>
      </c>
    </row>
    <row r="394" spans="2:24" ht="47.25">
      <c r="B394" s="295"/>
      <c r="C394" s="295"/>
      <c r="D394" s="292"/>
      <c r="E394" s="20" t="s">
        <v>320</v>
      </c>
      <c r="F394" s="76"/>
      <c r="G394" s="99"/>
      <c r="H394" s="224"/>
      <c r="I394" s="255">
        <v>3110</v>
      </c>
      <c r="J394" s="9">
        <v>97000</v>
      </c>
      <c r="K394" s="49"/>
      <c r="L394" s="9">
        <v>97000</v>
      </c>
      <c r="M394" s="49"/>
      <c r="N394" s="49"/>
      <c r="O394" s="49"/>
      <c r="P394" s="49"/>
      <c r="Q394" s="49"/>
      <c r="R394" s="49"/>
      <c r="S394" s="49"/>
      <c r="T394" s="49"/>
      <c r="U394" s="49"/>
      <c r="V394" s="49"/>
      <c r="W394" s="9">
        <v>97000</v>
      </c>
      <c r="X394" s="40">
        <f t="shared" si="32"/>
        <v>0</v>
      </c>
    </row>
    <row r="395" spans="2:24" ht="78.75">
      <c r="B395" s="295"/>
      <c r="C395" s="295"/>
      <c r="D395" s="292"/>
      <c r="E395" s="10" t="s">
        <v>51</v>
      </c>
      <c r="F395" s="76"/>
      <c r="G395" s="99"/>
      <c r="H395" s="224"/>
      <c r="I395" s="255"/>
      <c r="J395" s="21">
        <f>SUM(J396:J398)</f>
        <v>60800</v>
      </c>
      <c r="K395" s="49"/>
      <c r="L395" s="21">
        <f>SUM(L396:L398)</f>
        <v>60800</v>
      </c>
      <c r="M395" s="49"/>
      <c r="N395" s="49"/>
      <c r="O395" s="49"/>
      <c r="P395" s="49"/>
      <c r="Q395" s="49"/>
      <c r="R395" s="49"/>
      <c r="S395" s="49"/>
      <c r="T395" s="49"/>
      <c r="U395" s="49"/>
      <c r="V395" s="49"/>
      <c r="W395" s="21">
        <f>SUM(W396:W398)</f>
        <v>60800</v>
      </c>
      <c r="X395" s="40">
        <f t="shared" si="32"/>
        <v>0</v>
      </c>
    </row>
    <row r="396" spans="2:24" ht="47.25">
      <c r="B396" s="295"/>
      <c r="C396" s="295"/>
      <c r="D396" s="292"/>
      <c r="E396" s="22" t="s">
        <v>322</v>
      </c>
      <c r="F396" s="76"/>
      <c r="G396" s="99"/>
      <c r="H396" s="224"/>
      <c r="I396" s="255">
        <v>3110</v>
      </c>
      <c r="J396" s="9">
        <v>38300</v>
      </c>
      <c r="K396" s="49"/>
      <c r="L396" s="9">
        <v>38300</v>
      </c>
      <c r="M396" s="49"/>
      <c r="N396" s="49"/>
      <c r="O396" s="49"/>
      <c r="P396" s="49"/>
      <c r="Q396" s="49"/>
      <c r="R396" s="49"/>
      <c r="S396" s="49"/>
      <c r="T396" s="49"/>
      <c r="U396" s="49"/>
      <c r="V396" s="49"/>
      <c r="W396" s="9">
        <v>38300</v>
      </c>
      <c r="X396" s="40">
        <f t="shared" si="32"/>
        <v>0</v>
      </c>
    </row>
    <row r="397" spans="2:24" ht="31.5">
      <c r="B397" s="295"/>
      <c r="C397" s="295"/>
      <c r="D397" s="292"/>
      <c r="E397" s="23" t="s">
        <v>323</v>
      </c>
      <c r="F397" s="76"/>
      <c r="G397" s="99"/>
      <c r="H397" s="224"/>
      <c r="I397" s="255">
        <v>3110</v>
      </c>
      <c r="J397" s="9">
        <v>8000</v>
      </c>
      <c r="K397" s="49"/>
      <c r="L397" s="9">
        <v>8000</v>
      </c>
      <c r="M397" s="49"/>
      <c r="N397" s="49"/>
      <c r="O397" s="49"/>
      <c r="P397" s="49"/>
      <c r="Q397" s="49"/>
      <c r="R397" s="49"/>
      <c r="S397" s="49"/>
      <c r="T397" s="49"/>
      <c r="U397" s="49"/>
      <c r="V397" s="49"/>
      <c r="W397" s="9">
        <v>8000</v>
      </c>
      <c r="X397" s="40">
        <f t="shared" si="32"/>
        <v>0</v>
      </c>
    </row>
    <row r="398" spans="2:24" ht="31.5">
      <c r="B398" s="295"/>
      <c r="C398" s="295"/>
      <c r="D398" s="292"/>
      <c r="E398" s="23" t="s">
        <v>324</v>
      </c>
      <c r="F398" s="76"/>
      <c r="G398" s="99"/>
      <c r="H398" s="224"/>
      <c r="I398" s="255">
        <v>3110</v>
      </c>
      <c r="J398" s="9">
        <v>14500</v>
      </c>
      <c r="K398" s="49"/>
      <c r="L398" s="9">
        <v>14500</v>
      </c>
      <c r="M398" s="49"/>
      <c r="N398" s="49"/>
      <c r="O398" s="49"/>
      <c r="P398" s="49"/>
      <c r="Q398" s="49"/>
      <c r="R398" s="49"/>
      <c r="S398" s="49"/>
      <c r="T398" s="49"/>
      <c r="U398" s="49"/>
      <c r="V398" s="49"/>
      <c r="W398" s="9">
        <v>14500</v>
      </c>
      <c r="X398" s="40">
        <f t="shared" si="32"/>
        <v>0</v>
      </c>
    </row>
    <row r="399" spans="2:24" ht="110.25">
      <c r="B399" s="295"/>
      <c r="C399" s="295"/>
      <c r="D399" s="292"/>
      <c r="E399" s="10" t="s">
        <v>69</v>
      </c>
      <c r="F399" s="76">
        <v>97897.24</v>
      </c>
      <c r="G399" s="18">
        <f>100%-((F399-H399)/F399)</f>
        <v>0</v>
      </c>
      <c r="H399" s="224">
        <v>0</v>
      </c>
      <c r="I399" s="255">
        <v>3132</v>
      </c>
      <c r="J399" s="9">
        <v>70373.24</v>
      </c>
      <c r="K399" s="49"/>
      <c r="L399" s="9">
        <v>70373.24</v>
      </c>
      <c r="M399" s="49"/>
      <c r="N399" s="49"/>
      <c r="O399" s="49"/>
      <c r="P399" s="49"/>
      <c r="Q399" s="49"/>
      <c r="R399" s="49"/>
      <c r="S399" s="49"/>
      <c r="T399" s="49"/>
      <c r="U399" s="49"/>
      <c r="V399" s="49"/>
      <c r="W399" s="9">
        <v>70373.24</v>
      </c>
      <c r="X399" s="40">
        <f t="shared" si="32"/>
        <v>0</v>
      </c>
    </row>
    <row r="400" spans="2:24" ht="63">
      <c r="B400" s="295"/>
      <c r="C400" s="295"/>
      <c r="D400" s="292"/>
      <c r="E400" s="10" t="s">
        <v>588</v>
      </c>
      <c r="F400" s="76"/>
      <c r="G400" s="18"/>
      <c r="H400" s="224"/>
      <c r="I400" s="255">
        <v>3110</v>
      </c>
      <c r="J400" s="9">
        <v>14915</v>
      </c>
      <c r="K400" s="49"/>
      <c r="L400" s="9">
        <v>14915</v>
      </c>
      <c r="M400" s="49"/>
      <c r="N400" s="49"/>
      <c r="O400" s="49"/>
      <c r="P400" s="49"/>
      <c r="Q400" s="49"/>
      <c r="R400" s="49"/>
      <c r="S400" s="49"/>
      <c r="T400" s="49"/>
      <c r="U400" s="49"/>
      <c r="V400" s="49"/>
      <c r="W400" s="9">
        <v>14915</v>
      </c>
      <c r="X400" s="40">
        <f t="shared" si="32"/>
        <v>0</v>
      </c>
    </row>
    <row r="401" spans="2:24" ht="78.75">
      <c r="B401" s="295"/>
      <c r="C401" s="295"/>
      <c r="D401" s="292"/>
      <c r="E401" s="10" t="s">
        <v>162</v>
      </c>
      <c r="F401" s="76">
        <v>225589.65</v>
      </c>
      <c r="G401" s="18">
        <f>100%-((F401-H401)/F401)</f>
        <v>0</v>
      </c>
      <c r="H401" s="224">
        <v>0</v>
      </c>
      <c r="I401" s="255">
        <v>3132</v>
      </c>
      <c r="J401" s="9">
        <v>9250.13</v>
      </c>
      <c r="K401" s="49"/>
      <c r="L401" s="9">
        <v>9250.13</v>
      </c>
      <c r="M401" s="49"/>
      <c r="N401" s="49"/>
      <c r="O401" s="49"/>
      <c r="P401" s="49"/>
      <c r="Q401" s="49"/>
      <c r="R401" s="49"/>
      <c r="S401" s="49"/>
      <c r="T401" s="49"/>
      <c r="U401" s="49"/>
      <c r="V401" s="49"/>
      <c r="W401" s="9">
        <v>9250.13</v>
      </c>
      <c r="X401" s="40">
        <f t="shared" si="32"/>
        <v>0</v>
      </c>
    </row>
    <row r="402" spans="2:24" ht="47.25">
      <c r="B402" s="295"/>
      <c r="C402" s="295"/>
      <c r="D402" s="292"/>
      <c r="E402" s="10" t="s">
        <v>327</v>
      </c>
      <c r="F402" s="76"/>
      <c r="G402" s="18"/>
      <c r="H402" s="224"/>
      <c r="I402" s="255">
        <v>3110</v>
      </c>
      <c r="J402" s="9">
        <v>6950</v>
      </c>
      <c r="K402" s="49"/>
      <c r="L402" s="9">
        <v>6950</v>
      </c>
      <c r="M402" s="49"/>
      <c r="N402" s="49"/>
      <c r="O402" s="49"/>
      <c r="P402" s="49"/>
      <c r="Q402" s="49"/>
      <c r="R402" s="49"/>
      <c r="S402" s="49"/>
      <c r="T402" s="49"/>
      <c r="U402" s="49"/>
      <c r="V402" s="49"/>
      <c r="W402" s="9">
        <v>6950</v>
      </c>
      <c r="X402" s="40">
        <f t="shared" si="32"/>
        <v>0</v>
      </c>
    </row>
    <row r="403" spans="2:24" ht="78.75">
      <c r="B403" s="295"/>
      <c r="C403" s="295"/>
      <c r="D403" s="292"/>
      <c r="E403" s="10" t="s">
        <v>154</v>
      </c>
      <c r="F403" s="76"/>
      <c r="G403" s="18"/>
      <c r="H403" s="224"/>
      <c r="I403" s="251" t="s">
        <v>116</v>
      </c>
      <c r="J403" s="9">
        <v>400000</v>
      </c>
      <c r="K403" s="49"/>
      <c r="L403" s="9"/>
      <c r="M403" s="49">
        <v>400000</v>
      </c>
      <c r="N403" s="49"/>
      <c r="O403" s="49"/>
      <c r="P403" s="49"/>
      <c r="Q403" s="49"/>
      <c r="R403" s="49"/>
      <c r="S403" s="49"/>
      <c r="T403" s="49"/>
      <c r="U403" s="49"/>
      <c r="V403" s="49"/>
      <c r="W403" s="9">
        <f>400000-315.08</f>
        <v>399684.92</v>
      </c>
      <c r="X403" s="40">
        <f t="shared" si="32"/>
        <v>315.0800000000163</v>
      </c>
    </row>
    <row r="404" spans="2:24" ht="78.75">
      <c r="B404" s="295"/>
      <c r="C404" s="295"/>
      <c r="D404" s="292"/>
      <c r="E404" s="10" t="s">
        <v>37</v>
      </c>
      <c r="F404" s="76"/>
      <c r="G404" s="18"/>
      <c r="H404" s="224"/>
      <c r="I404" s="255">
        <v>3110</v>
      </c>
      <c r="J404" s="9">
        <f>13000+5000</f>
        <v>18000</v>
      </c>
      <c r="K404" s="49"/>
      <c r="L404" s="9"/>
      <c r="M404" s="49">
        <f>13000+5000</f>
        <v>18000</v>
      </c>
      <c r="N404" s="49"/>
      <c r="O404" s="49"/>
      <c r="P404" s="49"/>
      <c r="Q404" s="49"/>
      <c r="R404" s="49"/>
      <c r="S404" s="49"/>
      <c r="T404" s="49"/>
      <c r="U404" s="49"/>
      <c r="V404" s="49"/>
      <c r="W404" s="9">
        <f>13000+5000</f>
        <v>18000</v>
      </c>
      <c r="X404" s="40">
        <f t="shared" si="32"/>
        <v>0</v>
      </c>
    </row>
    <row r="405" spans="2:24" ht="94.5">
      <c r="B405" s="295"/>
      <c r="C405" s="295"/>
      <c r="D405" s="292"/>
      <c r="E405" s="10" t="s">
        <v>613</v>
      </c>
      <c r="F405" s="76"/>
      <c r="G405" s="18"/>
      <c r="H405" s="224"/>
      <c r="I405" s="255">
        <v>3110</v>
      </c>
      <c r="J405" s="9">
        <v>10500</v>
      </c>
      <c r="K405" s="49"/>
      <c r="L405" s="49"/>
      <c r="M405" s="49"/>
      <c r="N405" s="49">
        <v>10500</v>
      </c>
      <c r="O405" s="49"/>
      <c r="P405" s="49"/>
      <c r="Q405" s="49"/>
      <c r="R405" s="49"/>
      <c r="S405" s="49"/>
      <c r="T405" s="49"/>
      <c r="U405" s="49"/>
      <c r="V405" s="49"/>
      <c r="W405" s="9">
        <v>10500</v>
      </c>
      <c r="X405" s="40">
        <f t="shared" si="32"/>
        <v>0</v>
      </c>
    </row>
    <row r="406" spans="2:24" ht="63">
      <c r="B406" s="295"/>
      <c r="C406" s="295"/>
      <c r="D406" s="292"/>
      <c r="E406" s="10" t="s">
        <v>677</v>
      </c>
      <c r="F406" s="76"/>
      <c r="G406" s="18"/>
      <c r="H406" s="224"/>
      <c r="I406" s="255">
        <v>3110</v>
      </c>
      <c r="J406" s="9">
        <v>10900</v>
      </c>
      <c r="K406" s="49"/>
      <c r="L406" s="49"/>
      <c r="M406" s="49">
        <v>10900</v>
      </c>
      <c r="N406" s="49"/>
      <c r="O406" s="49"/>
      <c r="P406" s="49"/>
      <c r="Q406" s="49"/>
      <c r="R406" s="49"/>
      <c r="S406" s="49"/>
      <c r="T406" s="49"/>
      <c r="U406" s="49"/>
      <c r="V406" s="49"/>
      <c r="W406" s="9">
        <v>10900</v>
      </c>
      <c r="X406" s="40">
        <f t="shared" si="32"/>
        <v>0</v>
      </c>
    </row>
    <row r="407" spans="2:24" ht="94.5">
      <c r="B407" s="295"/>
      <c r="C407" s="295"/>
      <c r="D407" s="292"/>
      <c r="E407" s="10" t="s">
        <v>920</v>
      </c>
      <c r="F407" s="76">
        <v>130000</v>
      </c>
      <c r="G407" s="18">
        <f>100%-((F407-H407)/F407)</f>
        <v>1</v>
      </c>
      <c r="H407" s="224">
        <v>130000</v>
      </c>
      <c r="I407" s="255">
        <v>3132</v>
      </c>
      <c r="J407" s="9">
        <v>130000</v>
      </c>
      <c r="K407" s="49"/>
      <c r="L407" s="49"/>
      <c r="M407" s="49">
        <v>130000</v>
      </c>
      <c r="N407" s="49"/>
      <c r="O407" s="49"/>
      <c r="P407" s="49"/>
      <c r="Q407" s="49"/>
      <c r="R407" s="49"/>
      <c r="S407" s="49"/>
      <c r="T407" s="49"/>
      <c r="U407" s="49"/>
      <c r="V407" s="49"/>
      <c r="W407" s="9">
        <v>130000</v>
      </c>
      <c r="X407" s="40">
        <f t="shared" si="32"/>
        <v>0</v>
      </c>
    </row>
    <row r="408" spans="2:24" ht="94.5">
      <c r="B408" s="295"/>
      <c r="C408" s="295"/>
      <c r="D408" s="292"/>
      <c r="E408" s="10" t="s">
        <v>139</v>
      </c>
      <c r="F408" s="76"/>
      <c r="G408" s="18"/>
      <c r="H408" s="224"/>
      <c r="I408" s="255">
        <v>3132</v>
      </c>
      <c r="J408" s="9">
        <v>150000</v>
      </c>
      <c r="K408" s="49"/>
      <c r="L408" s="49"/>
      <c r="M408" s="49"/>
      <c r="N408" s="49"/>
      <c r="O408" s="49"/>
      <c r="P408" s="49"/>
      <c r="Q408" s="49"/>
      <c r="R408" s="49"/>
      <c r="S408" s="49">
        <v>150000</v>
      </c>
      <c r="T408" s="49"/>
      <c r="U408" s="49"/>
      <c r="V408" s="49"/>
      <c r="W408" s="9">
        <v>150000</v>
      </c>
      <c r="X408" s="40">
        <f t="shared" si="32"/>
        <v>0</v>
      </c>
    </row>
    <row r="409" spans="2:24" ht="47.25">
      <c r="B409" s="295"/>
      <c r="C409" s="295"/>
      <c r="D409" s="292"/>
      <c r="E409" s="88" t="s">
        <v>581</v>
      </c>
      <c r="F409" s="49"/>
      <c r="G409" s="50"/>
      <c r="H409" s="220"/>
      <c r="I409" s="255"/>
      <c r="J409" s="9">
        <f>SUM(J410:J413)</f>
        <v>394871</v>
      </c>
      <c r="K409" s="9">
        <f aca="true" t="shared" si="41" ref="K409:W409">SUM(K410:K413)</f>
        <v>0</v>
      </c>
      <c r="L409" s="9">
        <f t="shared" si="41"/>
        <v>0</v>
      </c>
      <c r="M409" s="9">
        <f t="shared" si="41"/>
        <v>0</v>
      </c>
      <c r="N409" s="9">
        <f t="shared" si="41"/>
        <v>0</v>
      </c>
      <c r="O409" s="9">
        <f t="shared" si="41"/>
        <v>35625</v>
      </c>
      <c r="P409" s="9">
        <f t="shared" si="41"/>
        <v>0</v>
      </c>
      <c r="Q409" s="9">
        <f t="shared" si="41"/>
        <v>0</v>
      </c>
      <c r="R409" s="9">
        <f t="shared" si="41"/>
        <v>359246</v>
      </c>
      <c r="S409" s="9">
        <f t="shared" si="41"/>
        <v>0</v>
      </c>
      <c r="T409" s="9">
        <f t="shared" si="41"/>
        <v>0</v>
      </c>
      <c r="U409" s="9">
        <f t="shared" si="41"/>
        <v>0</v>
      </c>
      <c r="V409" s="9">
        <f t="shared" si="41"/>
        <v>0</v>
      </c>
      <c r="W409" s="9">
        <f t="shared" si="41"/>
        <v>243207.5</v>
      </c>
      <c r="X409" s="40">
        <f t="shared" si="32"/>
        <v>151663.5</v>
      </c>
    </row>
    <row r="410" spans="2:24" ht="15.75">
      <c r="B410" s="295"/>
      <c r="C410" s="295"/>
      <c r="D410" s="292"/>
      <c r="E410" s="89" t="s">
        <v>582</v>
      </c>
      <c r="F410" s="49"/>
      <c r="G410" s="50"/>
      <c r="H410" s="220"/>
      <c r="I410" s="255">
        <v>3110</v>
      </c>
      <c r="J410" s="49">
        <v>35625</v>
      </c>
      <c r="K410" s="49"/>
      <c r="L410" s="49"/>
      <c r="M410" s="49"/>
      <c r="N410" s="49"/>
      <c r="O410" s="49">
        <v>35625</v>
      </c>
      <c r="P410" s="49"/>
      <c r="Q410" s="49"/>
      <c r="R410" s="49"/>
      <c r="S410" s="49"/>
      <c r="T410" s="49"/>
      <c r="U410" s="49"/>
      <c r="V410" s="49"/>
      <c r="W410" s="49">
        <f>35625-87.5</f>
        <v>35537.5</v>
      </c>
      <c r="X410" s="40">
        <f t="shared" si="32"/>
        <v>87.5</v>
      </c>
    </row>
    <row r="411" spans="2:24" ht="15.75">
      <c r="B411" s="295"/>
      <c r="C411" s="295"/>
      <c r="D411" s="292"/>
      <c r="E411" s="89" t="s">
        <v>583</v>
      </c>
      <c r="F411" s="49"/>
      <c r="G411" s="50"/>
      <c r="H411" s="220"/>
      <c r="I411" s="255">
        <v>3110</v>
      </c>
      <c r="J411" s="49">
        <v>91200</v>
      </c>
      <c r="K411" s="49"/>
      <c r="L411" s="49"/>
      <c r="M411" s="49"/>
      <c r="N411" s="49"/>
      <c r="O411" s="49"/>
      <c r="P411" s="49"/>
      <c r="Q411" s="49"/>
      <c r="R411" s="49">
        <v>91200</v>
      </c>
      <c r="S411" s="49"/>
      <c r="T411" s="49"/>
      <c r="U411" s="49"/>
      <c r="V411" s="49"/>
      <c r="W411" s="49"/>
      <c r="X411" s="40">
        <f t="shared" si="32"/>
        <v>91200</v>
      </c>
    </row>
    <row r="412" spans="2:24" ht="15.75">
      <c r="B412" s="295"/>
      <c r="C412" s="295"/>
      <c r="D412" s="292"/>
      <c r="E412" s="89" t="s">
        <v>584</v>
      </c>
      <c r="F412" s="49"/>
      <c r="G412" s="50"/>
      <c r="H412" s="220"/>
      <c r="I412" s="255">
        <v>3110</v>
      </c>
      <c r="J412" s="49">
        <v>176435</v>
      </c>
      <c r="K412" s="49"/>
      <c r="L412" s="49"/>
      <c r="M412" s="49"/>
      <c r="N412" s="49"/>
      <c r="O412" s="49"/>
      <c r="P412" s="49"/>
      <c r="Q412" s="49"/>
      <c r="R412" s="49">
        <v>176435</v>
      </c>
      <c r="S412" s="49"/>
      <c r="T412" s="49"/>
      <c r="U412" s="49"/>
      <c r="V412" s="49"/>
      <c r="W412" s="49">
        <v>174400</v>
      </c>
      <c r="X412" s="40">
        <f t="shared" si="32"/>
        <v>2035</v>
      </c>
    </row>
    <row r="413" spans="2:24" ht="15.75">
      <c r="B413" s="295"/>
      <c r="C413" s="295"/>
      <c r="D413" s="292"/>
      <c r="E413" s="89" t="s">
        <v>557</v>
      </c>
      <c r="F413" s="49"/>
      <c r="G413" s="50"/>
      <c r="H413" s="220"/>
      <c r="I413" s="255">
        <v>3110</v>
      </c>
      <c r="J413" s="49">
        <v>91611</v>
      </c>
      <c r="K413" s="49"/>
      <c r="L413" s="49"/>
      <c r="M413" s="49"/>
      <c r="N413" s="49"/>
      <c r="O413" s="49"/>
      <c r="P413" s="49"/>
      <c r="Q413" s="49"/>
      <c r="R413" s="49">
        <v>91611</v>
      </c>
      <c r="S413" s="49"/>
      <c r="T413" s="49"/>
      <c r="U413" s="49"/>
      <c r="V413" s="49"/>
      <c r="W413" s="49">
        <f>33270</f>
        <v>33270</v>
      </c>
      <c r="X413" s="40">
        <f t="shared" si="32"/>
        <v>58341</v>
      </c>
    </row>
    <row r="414" spans="2:24" ht="63">
      <c r="B414" s="295"/>
      <c r="C414" s="295"/>
      <c r="D414" s="292"/>
      <c r="E414" s="88" t="s">
        <v>172</v>
      </c>
      <c r="F414" s="49"/>
      <c r="G414" s="50"/>
      <c r="H414" s="220"/>
      <c r="I414" s="255"/>
      <c r="J414" s="9">
        <f>SUM(J415:J419)</f>
        <v>249720</v>
      </c>
      <c r="K414" s="9">
        <f aca="true" t="shared" si="42" ref="K414:W414">SUM(K415:K419)</f>
        <v>0</v>
      </c>
      <c r="L414" s="9">
        <f t="shared" si="42"/>
        <v>0</v>
      </c>
      <c r="M414" s="9">
        <f t="shared" si="42"/>
        <v>0</v>
      </c>
      <c r="N414" s="9">
        <f t="shared" si="42"/>
        <v>0</v>
      </c>
      <c r="O414" s="9">
        <f t="shared" si="42"/>
        <v>23520</v>
      </c>
      <c r="P414" s="9">
        <f t="shared" si="42"/>
        <v>-4500</v>
      </c>
      <c r="Q414" s="9">
        <f t="shared" si="42"/>
        <v>0</v>
      </c>
      <c r="R414" s="9">
        <f t="shared" si="42"/>
        <v>230700</v>
      </c>
      <c r="S414" s="9">
        <f t="shared" si="42"/>
        <v>0</v>
      </c>
      <c r="T414" s="9">
        <f t="shared" si="42"/>
        <v>0</v>
      </c>
      <c r="U414" s="9">
        <f t="shared" si="42"/>
        <v>0</v>
      </c>
      <c r="V414" s="9">
        <f t="shared" si="42"/>
        <v>0</v>
      </c>
      <c r="W414" s="9">
        <f t="shared" si="42"/>
        <v>239370</v>
      </c>
      <c r="X414" s="40">
        <f t="shared" si="32"/>
        <v>10350</v>
      </c>
    </row>
    <row r="415" spans="2:24" ht="15.75">
      <c r="B415" s="295"/>
      <c r="C415" s="295"/>
      <c r="D415" s="292"/>
      <c r="E415" s="90" t="s">
        <v>173</v>
      </c>
      <c r="F415" s="49"/>
      <c r="G415" s="50"/>
      <c r="H415" s="220"/>
      <c r="I415" s="255">
        <v>3110</v>
      </c>
      <c r="J415" s="49">
        <v>6790</v>
      </c>
      <c r="K415" s="49"/>
      <c r="L415" s="49"/>
      <c r="M415" s="49"/>
      <c r="N415" s="49"/>
      <c r="O415" s="49">
        <v>6790</v>
      </c>
      <c r="P415" s="49">
        <v>-990</v>
      </c>
      <c r="Q415" s="49"/>
      <c r="R415" s="49">
        <v>990</v>
      </c>
      <c r="S415" s="49"/>
      <c r="T415" s="49"/>
      <c r="U415" s="49"/>
      <c r="V415" s="49"/>
      <c r="W415" s="49">
        <v>5800</v>
      </c>
      <c r="X415" s="40">
        <f t="shared" si="32"/>
        <v>990</v>
      </c>
    </row>
    <row r="416" spans="2:24" ht="15.75">
      <c r="B416" s="295"/>
      <c r="C416" s="295"/>
      <c r="D416" s="292"/>
      <c r="E416" s="90" t="s">
        <v>174</v>
      </c>
      <c r="F416" s="49"/>
      <c r="G416" s="50"/>
      <c r="H416" s="220"/>
      <c r="I416" s="255">
        <v>3110</v>
      </c>
      <c r="J416" s="49">
        <v>5880</v>
      </c>
      <c r="K416" s="49"/>
      <c r="L416" s="49"/>
      <c r="M416" s="49"/>
      <c r="N416" s="49"/>
      <c r="O416" s="49">
        <v>5880</v>
      </c>
      <c r="P416" s="49">
        <v>-1390</v>
      </c>
      <c r="Q416" s="49"/>
      <c r="R416" s="49">
        <v>1390</v>
      </c>
      <c r="S416" s="49"/>
      <c r="T416" s="49"/>
      <c r="U416" s="49"/>
      <c r="V416" s="49"/>
      <c r="W416" s="49">
        <v>4490</v>
      </c>
      <c r="X416" s="40">
        <f t="shared" si="32"/>
        <v>1390</v>
      </c>
    </row>
    <row r="417" spans="2:24" ht="15.75">
      <c r="B417" s="295"/>
      <c r="C417" s="295"/>
      <c r="D417" s="292"/>
      <c r="E417" s="90" t="s">
        <v>175</v>
      </c>
      <c r="F417" s="49"/>
      <c r="G417" s="50"/>
      <c r="H417" s="220"/>
      <c r="I417" s="255">
        <v>3110</v>
      </c>
      <c r="J417" s="49">
        <v>5090</v>
      </c>
      <c r="K417" s="49"/>
      <c r="L417" s="49"/>
      <c r="M417" s="49"/>
      <c r="N417" s="49"/>
      <c r="O417" s="49">
        <v>5090</v>
      </c>
      <c r="P417" s="49"/>
      <c r="Q417" s="49"/>
      <c r="R417" s="49"/>
      <c r="S417" s="49"/>
      <c r="T417" s="49"/>
      <c r="U417" s="49"/>
      <c r="V417" s="49"/>
      <c r="W417" s="49">
        <v>5090</v>
      </c>
      <c r="X417" s="40">
        <f t="shared" si="32"/>
        <v>0</v>
      </c>
    </row>
    <row r="418" spans="2:24" ht="31.5">
      <c r="B418" s="295"/>
      <c r="C418" s="295"/>
      <c r="D418" s="292"/>
      <c r="E418" s="90" t="s">
        <v>176</v>
      </c>
      <c r="F418" s="49"/>
      <c r="G418" s="50"/>
      <c r="H418" s="220"/>
      <c r="I418" s="255">
        <v>3110</v>
      </c>
      <c r="J418" s="49">
        <v>5760</v>
      </c>
      <c r="K418" s="49"/>
      <c r="L418" s="49"/>
      <c r="M418" s="49"/>
      <c r="N418" s="49"/>
      <c r="O418" s="49">
        <v>5760</v>
      </c>
      <c r="P418" s="49">
        <v>-2120</v>
      </c>
      <c r="Q418" s="49"/>
      <c r="R418" s="49">
        <v>2120</v>
      </c>
      <c r="S418" s="49"/>
      <c r="T418" s="49"/>
      <c r="U418" s="49"/>
      <c r="V418" s="49"/>
      <c r="W418" s="49">
        <v>3640</v>
      </c>
      <c r="X418" s="40">
        <f t="shared" si="32"/>
        <v>2120</v>
      </c>
    </row>
    <row r="419" spans="2:24" ht="15.75">
      <c r="B419" s="295"/>
      <c r="C419" s="295"/>
      <c r="D419" s="292"/>
      <c r="E419" s="90" t="s">
        <v>177</v>
      </c>
      <c r="F419" s="49"/>
      <c r="G419" s="50"/>
      <c r="H419" s="220"/>
      <c r="I419" s="255">
        <v>3110</v>
      </c>
      <c r="J419" s="49">
        <v>226200</v>
      </c>
      <c r="K419" s="49"/>
      <c r="L419" s="49"/>
      <c r="M419" s="49"/>
      <c r="N419" s="49"/>
      <c r="O419" s="49"/>
      <c r="P419" s="49"/>
      <c r="Q419" s="49"/>
      <c r="R419" s="49">
        <v>226200</v>
      </c>
      <c r="S419" s="49"/>
      <c r="T419" s="49"/>
      <c r="U419" s="49"/>
      <c r="V419" s="49"/>
      <c r="W419" s="49">
        <v>220350</v>
      </c>
      <c r="X419" s="40">
        <f aca="true" t="shared" si="43" ref="X419:X482">K419+L419+M419+N419+O419+P419+Q419+R419+S419+T419-W419</f>
        <v>5850</v>
      </c>
    </row>
    <row r="420" spans="2:24" ht="47.25">
      <c r="B420" s="295"/>
      <c r="C420" s="295"/>
      <c r="D420" s="292"/>
      <c r="E420" s="10" t="s">
        <v>178</v>
      </c>
      <c r="F420" s="49"/>
      <c r="G420" s="50"/>
      <c r="H420" s="220"/>
      <c r="I420" s="255">
        <v>3110</v>
      </c>
      <c r="J420" s="9">
        <v>25000</v>
      </c>
      <c r="K420" s="49"/>
      <c r="L420" s="49"/>
      <c r="M420" s="49"/>
      <c r="N420" s="49"/>
      <c r="O420" s="49"/>
      <c r="P420" s="49"/>
      <c r="Q420" s="49"/>
      <c r="R420" s="49">
        <v>25000</v>
      </c>
      <c r="S420" s="49"/>
      <c r="T420" s="49"/>
      <c r="U420" s="49"/>
      <c r="V420" s="49"/>
      <c r="W420" s="49">
        <v>18850</v>
      </c>
      <c r="X420" s="40">
        <f t="shared" si="43"/>
        <v>6150</v>
      </c>
    </row>
    <row r="421" spans="2:24" ht="47.25">
      <c r="B421" s="295"/>
      <c r="C421" s="295"/>
      <c r="D421" s="292"/>
      <c r="E421" s="88" t="s">
        <v>332</v>
      </c>
      <c r="F421" s="49"/>
      <c r="G421" s="50"/>
      <c r="H421" s="220"/>
      <c r="I421" s="255"/>
      <c r="J421" s="9">
        <f>SUM(J422:J430)</f>
        <v>2196721.42</v>
      </c>
      <c r="K421" s="9">
        <f aca="true" t="shared" si="44" ref="K421:W421">SUM(K422:K430)</f>
        <v>0</v>
      </c>
      <c r="L421" s="9">
        <f t="shared" si="44"/>
        <v>0</v>
      </c>
      <c r="M421" s="9">
        <f t="shared" si="44"/>
        <v>0</v>
      </c>
      <c r="N421" s="9">
        <f t="shared" si="44"/>
        <v>0</v>
      </c>
      <c r="O421" s="9">
        <f t="shared" si="44"/>
        <v>905250</v>
      </c>
      <c r="P421" s="9">
        <f t="shared" si="44"/>
        <v>897630</v>
      </c>
      <c r="Q421" s="9">
        <f t="shared" si="44"/>
        <v>0</v>
      </c>
      <c r="R421" s="9">
        <f t="shared" si="44"/>
        <v>393841.42</v>
      </c>
      <c r="S421" s="9">
        <f t="shared" si="44"/>
        <v>0</v>
      </c>
      <c r="T421" s="9">
        <f t="shared" si="44"/>
        <v>0</v>
      </c>
      <c r="U421" s="9">
        <f t="shared" si="44"/>
        <v>0</v>
      </c>
      <c r="V421" s="9">
        <f t="shared" si="44"/>
        <v>0</v>
      </c>
      <c r="W421" s="9">
        <f t="shared" si="44"/>
        <v>1802867.24</v>
      </c>
      <c r="X421" s="40">
        <f t="shared" si="43"/>
        <v>393854.17999999993</v>
      </c>
    </row>
    <row r="422" spans="2:24" ht="15.75">
      <c r="B422" s="295"/>
      <c r="C422" s="295"/>
      <c r="D422" s="292"/>
      <c r="E422" s="91" t="s">
        <v>333</v>
      </c>
      <c r="F422" s="49"/>
      <c r="G422" s="50"/>
      <c r="H422" s="220"/>
      <c r="I422" s="255">
        <v>3110</v>
      </c>
      <c r="J422" s="49">
        <v>931830</v>
      </c>
      <c r="K422" s="49"/>
      <c r="L422" s="49"/>
      <c r="M422" s="49"/>
      <c r="N422" s="49"/>
      <c r="O422" s="49"/>
      <c r="P422" s="49">
        <v>913780</v>
      </c>
      <c r="Q422" s="49"/>
      <c r="R422" s="49">
        <f>931830-913780</f>
        <v>18050</v>
      </c>
      <c r="S422" s="49"/>
      <c r="T422" s="49"/>
      <c r="U422" s="49"/>
      <c r="V422" s="49"/>
      <c r="W422" s="49">
        <v>913780</v>
      </c>
      <c r="X422" s="40">
        <f t="shared" si="43"/>
        <v>18050</v>
      </c>
    </row>
    <row r="423" spans="2:24" ht="47.25">
      <c r="B423" s="295"/>
      <c r="C423" s="295"/>
      <c r="D423" s="292"/>
      <c r="E423" s="91" t="s">
        <v>573</v>
      </c>
      <c r="F423" s="49"/>
      <c r="G423" s="50"/>
      <c r="H423" s="220"/>
      <c r="I423" s="255">
        <v>3110</v>
      </c>
      <c r="J423" s="49">
        <f>87150-12458.58</f>
        <v>74691.42</v>
      </c>
      <c r="K423" s="49"/>
      <c r="L423" s="49"/>
      <c r="M423" s="49"/>
      <c r="N423" s="49"/>
      <c r="O423" s="49">
        <v>70050</v>
      </c>
      <c r="P423" s="49"/>
      <c r="Q423" s="49"/>
      <c r="R423" s="49">
        <f>87150-70050-12458.58</f>
        <v>4641.42</v>
      </c>
      <c r="S423" s="49"/>
      <c r="T423" s="49"/>
      <c r="U423" s="49"/>
      <c r="V423" s="49"/>
      <c r="W423" s="49">
        <v>70050</v>
      </c>
      <c r="X423" s="40">
        <f t="shared" si="43"/>
        <v>4641.419999999998</v>
      </c>
    </row>
    <row r="424" spans="2:24" ht="15.75">
      <c r="B424" s="295"/>
      <c r="C424" s="295"/>
      <c r="D424" s="292"/>
      <c r="E424" s="91" t="s">
        <v>574</v>
      </c>
      <c r="F424" s="49"/>
      <c r="G424" s="50"/>
      <c r="H424" s="220"/>
      <c r="I424" s="255">
        <v>3110</v>
      </c>
      <c r="J424" s="49">
        <v>119430</v>
      </c>
      <c r="K424" s="49"/>
      <c r="L424" s="49"/>
      <c r="M424" s="49"/>
      <c r="N424" s="49"/>
      <c r="O424" s="49">
        <v>119430</v>
      </c>
      <c r="P424" s="49">
        <v>-2310</v>
      </c>
      <c r="Q424" s="49"/>
      <c r="R424" s="49">
        <v>2310</v>
      </c>
      <c r="S424" s="49"/>
      <c r="T424" s="49"/>
      <c r="U424" s="49"/>
      <c r="V424" s="49"/>
      <c r="W424" s="49">
        <v>117120</v>
      </c>
      <c r="X424" s="40">
        <f t="shared" si="43"/>
        <v>2310</v>
      </c>
    </row>
    <row r="425" spans="2:24" ht="15.75">
      <c r="B425" s="295"/>
      <c r="C425" s="295"/>
      <c r="D425" s="292"/>
      <c r="E425" s="91" t="s">
        <v>575</v>
      </c>
      <c r="F425" s="49"/>
      <c r="G425" s="50"/>
      <c r="H425" s="220"/>
      <c r="I425" s="255">
        <v>3110</v>
      </c>
      <c r="J425" s="49">
        <v>277020</v>
      </c>
      <c r="K425" s="49"/>
      <c r="L425" s="49"/>
      <c r="M425" s="49"/>
      <c r="N425" s="49"/>
      <c r="O425" s="49">
        <v>277020</v>
      </c>
      <c r="P425" s="49">
        <v>-5360</v>
      </c>
      <c r="Q425" s="49"/>
      <c r="R425" s="49">
        <v>5360</v>
      </c>
      <c r="S425" s="49"/>
      <c r="T425" s="49"/>
      <c r="U425" s="49"/>
      <c r="V425" s="49"/>
      <c r="W425" s="49">
        <v>271653.74</v>
      </c>
      <c r="X425" s="40">
        <f t="shared" si="43"/>
        <v>5366.260000000009</v>
      </c>
    </row>
    <row r="426" spans="2:24" ht="15.75">
      <c r="B426" s="295"/>
      <c r="C426" s="295"/>
      <c r="D426" s="292"/>
      <c r="E426" s="91" t="s">
        <v>576</v>
      </c>
      <c r="F426" s="49"/>
      <c r="G426" s="50"/>
      <c r="H426" s="220"/>
      <c r="I426" s="255">
        <v>3110</v>
      </c>
      <c r="J426" s="49">
        <v>336120</v>
      </c>
      <c r="K426" s="49"/>
      <c r="L426" s="49"/>
      <c r="M426" s="49"/>
      <c r="N426" s="49"/>
      <c r="O426" s="49">
        <v>336120</v>
      </c>
      <c r="P426" s="49">
        <v>-6500</v>
      </c>
      <c r="Q426" s="49"/>
      <c r="R426" s="49">
        <v>6500</v>
      </c>
      <c r="S426" s="49"/>
      <c r="T426" s="49"/>
      <c r="U426" s="49"/>
      <c r="V426" s="49"/>
      <c r="W426" s="49">
        <v>329613.5</v>
      </c>
      <c r="X426" s="40">
        <f t="shared" si="43"/>
        <v>6506.5</v>
      </c>
    </row>
    <row r="427" spans="2:24" ht="31.5" hidden="1">
      <c r="B427" s="295"/>
      <c r="C427" s="295"/>
      <c r="D427" s="292"/>
      <c r="E427" s="91" t="s">
        <v>577</v>
      </c>
      <c r="F427" s="49"/>
      <c r="G427" s="50"/>
      <c r="H427" s="220"/>
      <c r="I427" s="255">
        <v>3110</v>
      </c>
      <c r="J427" s="49">
        <f>248570-248570</f>
        <v>0</v>
      </c>
      <c r="K427" s="49"/>
      <c r="L427" s="49"/>
      <c r="M427" s="49"/>
      <c r="N427" s="49"/>
      <c r="O427" s="49"/>
      <c r="P427" s="49"/>
      <c r="Q427" s="49"/>
      <c r="R427" s="49">
        <f>248570-248570</f>
        <v>0</v>
      </c>
      <c r="S427" s="49"/>
      <c r="T427" s="49"/>
      <c r="U427" s="49"/>
      <c r="V427" s="49"/>
      <c r="W427" s="49"/>
      <c r="X427" s="40">
        <f t="shared" si="43"/>
        <v>0</v>
      </c>
    </row>
    <row r="428" spans="2:24" ht="15.75">
      <c r="B428" s="295"/>
      <c r="C428" s="295"/>
      <c r="D428" s="292"/>
      <c r="E428" s="92" t="s">
        <v>742</v>
      </c>
      <c r="F428" s="49"/>
      <c r="G428" s="50"/>
      <c r="H428" s="220"/>
      <c r="I428" s="255">
        <v>3110</v>
      </c>
      <c r="J428" s="49">
        <v>235000</v>
      </c>
      <c r="K428" s="49"/>
      <c r="L428" s="49"/>
      <c r="M428" s="49"/>
      <c r="N428" s="49"/>
      <c r="O428" s="49"/>
      <c r="P428" s="49"/>
      <c r="Q428" s="49"/>
      <c r="R428" s="49">
        <v>235000</v>
      </c>
      <c r="S428" s="49"/>
      <c r="T428" s="49"/>
      <c r="U428" s="49"/>
      <c r="V428" s="49"/>
      <c r="W428" s="49">
        <f>230050-230050</f>
        <v>0</v>
      </c>
      <c r="X428" s="40">
        <f t="shared" si="43"/>
        <v>235000</v>
      </c>
    </row>
    <row r="429" spans="2:24" ht="15.75">
      <c r="B429" s="295"/>
      <c r="C429" s="295"/>
      <c r="D429" s="292"/>
      <c r="E429" s="92" t="s">
        <v>578</v>
      </c>
      <c r="F429" s="49"/>
      <c r="G429" s="50"/>
      <c r="H429" s="220"/>
      <c r="I429" s="255">
        <v>3110</v>
      </c>
      <c r="J429" s="49">
        <v>102630</v>
      </c>
      <c r="K429" s="49"/>
      <c r="L429" s="49"/>
      <c r="M429" s="49"/>
      <c r="N429" s="49"/>
      <c r="O429" s="49">
        <v>102630</v>
      </c>
      <c r="P429" s="49">
        <v>-1980</v>
      </c>
      <c r="Q429" s="49"/>
      <c r="R429" s="49">
        <v>1980</v>
      </c>
      <c r="S429" s="49"/>
      <c r="T429" s="49"/>
      <c r="U429" s="49"/>
      <c r="V429" s="49"/>
      <c r="W429" s="49">
        <v>100650</v>
      </c>
      <c r="X429" s="40">
        <f t="shared" si="43"/>
        <v>1980</v>
      </c>
    </row>
    <row r="430" spans="2:24" ht="15.75">
      <c r="B430" s="295"/>
      <c r="C430" s="295"/>
      <c r="D430" s="292"/>
      <c r="E430" s="92" t="s">
        <v>579</v>
      </c>
      <c r="F430" s="49"/>
      <c r="G430" s="50"/>
      <c r="H430" s="220"/>
      <c r="I430" s="255">
        <v>3110</v>
      </c>
      <c r="J430" s="49">
        <v>120000</v>
      </c>
      <c r="K430" s="49"/>
      <c r="L430" s="49"/>
      <c r="M430" s="49"/>
      <c r="N430" s="49"/>
      <c r="O430" s="49"/>
      <c r="P430" s="49"/>
      <c r="Q430" s="49"/>
      <c r="R430" s="49">
        <v>120000</v>
      </c>
      <c r="S430" s="49"/>
      <c r="T430" s="49"/>
      <c r="U430" s="49"/>
      <c r="V430" s="49"/>
      <c r="W430" s="49"/>
      <c r="X430" s="40">
        <f t="shared" si="43"/>
        <v>120000</v>
      </c>
    </row>
    <row r="431" spans="2:24" ht="47.25">
      <c r="B431" s="295"/>
      <c r="C431" s="295"/>
      <c r="D431" s="292"/>
      <c r="E431" s="93" t="s">
        <v>586</v>
      </c>
      <c r="F431" s="49"/>
      <c r="G431" s="50"/>
      <c r="H431" s="220"/>
      <c r="I431" s="255">
        <v>3110</v>
      </c>
      <c r="J431" s="49">
        <v>1100000</v>
      </c>
      <c r="K431" s="49"/>
      <c r="L431" s="49"/>
      <c r="M431" s="49"/>
      <c r="N431" s="49"/>
      <c r="O431" s="49"/>
      <c r="P431" s="49"/>
      <c r="Q431" s="49"/>
      <c r="R431" s="49">
        <v>1100000</v>
      </c>
      <c r="S431" s="49"/>
      <c r="T431" s="49"/>
      <c r="U431" s="49"/>
      <c r="V431" s="49"/>
      <c r="W431" s="49"/>
      <c r="X431" s="40">
        <f t="shared" si="43"/>
        <v>1100000</v>
      </c>
    </row>
    <row r="432" spans="2:24" ht="63">
      <c r="B432" s="295"/>
      <c r="C432" s="295"/>
      <c r="D432" s="292"/>
      <c r="E432" s="93" t="s">
        <v>26</v>
      </c>
      <c r="F432" s="49"/>
      <c r="G432" s="50"/>
      <c r="H432" s="220"/>
      <c r="I432" s="255">
        <v>3110</v>
      </c>
      <c r="J432" s="49">
        <v>30000</v>
      </c>
      <c r="K432" s="49"/>
      <c r="L432" s="49"/>
      <c r="M432" s="49"/>
      <c r="N432" s="49"/>
      <c r="O432" s="49"/>
      <c r="P432" s="49">
        <v>30000</v>
      </c>
      <c r="Q432" s="49"/>
      <c r="R432" s="49">
        <f>30000-30000</f>
        <v>0</v>
      </c>
      <c r="S432" s="49"/>
      <c r="T432" s="49"/>
      <c r="U432" s="49"/>
      <c r="V432" s="49"/>
      <c r="W432" s="49">
        <v>30000</v>
      </c>
      <c r="X432" s="40">
        <f t="shared" si="43"/>
        <v>0</v>
      </c>
    </row>
    <row r="433" spans="2:24" ht="47.25">
      <c r="B433" s="295"/>
      <c r="C433" s="295"/>
      <c r="D433" s="292"/>
      <c r="E433" s="93" t="s">
        <v>187</v>
      </c>
      <c r="F433" s="49"/>
      <c r="G433" s="50"/>
      <c r="H433" s="220"/>
      <c r="I433" s="255">
        <v>3110</v>
      </c>
      <c r="J433" s="49">
        <v>20000</v>
      </c>
      <c r="K433" s="49"/>
      <c r="L433" s="49"/>
      <c r="M433" s="49"/>
      <c r="N433" s="49"/>
      <c r="O433" s="49"/>
      <c r="P433" s="49"/>
      <c r="Q433" s="49"/>
      <c r="R433" s="49">
        <v>20000</v>
      </c>
      <c r="S433" s="49"/>
      <c r="T433" s="49"/>
      <c r="U433" s="49"/>
      <c r="V433" s="49"/>
      <c r="W433" s="49"/>
      <c r="X433" s="40">
        <f t="shared" si="43"/>
        <v>20000</v>
      </c>
    </row>
    <row r="434" spans="2:24" ht="31.5">
      <c r="B434" s="295"/>
      <c r="C434" s="295"/>
      <c r="D434" s="292"/>
      <c r="E434" s="93" t="s">
        <v>188</v>
      </c>
      <c r="F434" s="49"/>
      <c r="G434" s="50"/>
      <c r="H434" s="220"/>
      <c r="I434" s="255">
        <v>3110</v>
      </c>
      <c r="J434" s="49">
        <v>135720</v>
      </c>
      <c r="K434" s="49"/>
      <c r="L434" s="49"/>
      <c r="M434" s="49"/>
      <c r="N434" s="49"/>
      <c r="O434" s="49"/>
      <c r="P434" s="49">
        <v>56500</v>
      </c>
      <c r="Q434" s="49"/>
      <c r="R434" s="49">
        <f>135720-56500</f>
        <v>79220</v>
      </c>
      <c r="S434" s="49"/>
      <c r="T434" s="49"/>
      <c r="U434" s="49"/>
      <c r="V434" s="49"/>
      <c r="W434" s="49">
        <f>56500+75000</f>
        <v>131500</v>
      </c>
      <c r="X434" s="40">
        <f t="shared" si="43"/>
        <v>4220</v>
      </c>
    </row>
    <row r="435" spans="2:24" ht="110.25">
      <c r="B435" s="295"/>
      <c r="C435" s="295"/>
      <c r="D435" s="292"/>
      <c r="E435" s="88" t="s">
        <v>625</v>
      </c>
      <c r="F435" s="49">
        <v>67860</v>
      </c>
      <c r="G435" s="18">
        <f aca="true" t="shared" si="45" ref="G435:G441">100%-((F435-H435)/F435)</f>
        <v>1</v>
      </c>
      <c r="H435" s="220">
        <v>67860</v>
      </c>
      <c r="I435" s="255">
        <v>3132</v>
      </c>
      <c r="J435" s="49">
        <v>67860</v>
      </c>
      <c r="K435" s="49"/>
      <c r="L435" s="49"/>
      <c r="M435" s="49"/>
      <c r="N435" s="49"/>
      <c r="O435" s="49"/>
      <c r="P435" s="49">
        <f>67860-67860</f>
        <v>0</v>
      </c>
      <c r="Q435" s="49"/>
      <c r="R435" s="49">
        <v>67860</v>
      </c>
      <c r="S435" s="49"/>
      <c r="T435" s="49"/>
      <c r="U435" s="49"/>
      <c r="V435" s="49"/>
      <c r="W435" s="49">
        <f>12022+24035.8</f>
        <v>36057.8</v>
      </c>
      <c r="X435" s="40">
        <f t="shared" si="43"/>
        <v>31802.199999999997</v>
      </c>
    </row>
    <row r="436" spans="2:24" ht="47.25">
      <c r="B436" s="295"/>
      <c r="C436" s="295"/>
      <c r="D436" s="292"/>
      <c r="E436" s="88" t="s">
        <v>626</v>
      </c>
      <c r="F436" s="49">
        <v>338300</v>
      </c>
      <c r="G436" s="18">
        <f t="shared" si="45"/>
        <v>1</v>
      </c>
      <c r="H436" s="220">
        <v>338300</v>
      </c>
      <c r="I436" s="255">
        <v>3132</v>
      </c>
      <c r="J436" s="49">
        <v>331000</v>
      </c>
      <c r="K436" s="49"/>
      <c r="L436" s="49"/>
      <c r="M436" s="49"/>
      <c r="N436" s="49"/>
      <c r="O436" s="49">
        <v>132400</v>
      </c>
      <c r="P436" s="49">
        <f>198600-300000-31000</f>
        <v>-132400</v>
      </c>
      <c r="Q436" s="49"/>
      <c r="R436" s="49">
        <f>300000+31000</f>
        <v>331000</v>
      </c>
      <c r="S436" s="49"/>
      <c r="T436" s="49"/>
      <c r="U436" s="49"/>
      <c r="V436" s="49"/>
      <c r="W436" s="49">
        <f>3178+169174.1</f>
        <v>172352.1</v>
      </c>
      <c r="X436" s="40">
        <f t="shared" si="43"/>
        <v>158647.9</v>
      </c>
    </row>
    <row r="437" spans="2:24" ht="63">
      <c r="B437" s="295"/>
      <c r="C437" s="295"/>
      <c r="D437" s="292"/>
      <c r="E437" s="88" t="s">
        <v>627</v>
      </c>
      <c r="F437" s="49">
        <v>2175684</v>
      </c>
      <c r="G437" s="18">
        <f t="shared" si="45"/>
        <v>1</v>
      </c>
      <c r="H437" s="220">
        <v>2175684</v>
      </c>
      <c r="I437" s="255">
        <v>3132</v>
      </c>
      <c r="J437" s="49">
        <v>1000000</v>
      </c>
      <c r="K437" s="49"/>
      <c r="L437" s="49"/>
      <c r="M437" s="49"/>
      <c r="N437" s="49"/>
      <c r="O437" s="49">
        <f>300000-70050-13190</f>
        <v>216760</v>
      </c>
      <c r="P437" s="49">
        <f>100000-316760</f>
        <v>-216760</v>
      </c>
      <c r="Q437" s="49">
        <v>100000</v>
      </c>
      <c r="R437" s="49">
        <f>200000+70050+316760</f>
        <v>586810</v>
      </c>
      <c r="S437" s="49">
        <f>100000+13190</f>
        <v>113190</v>
      </c>
      <c r="T437" s="49">
        <v>200000</v>
      </c>
      <c r="U437" s="49"/>
      <c r="V437" s="49"/>
      <c r="W437" s="49">
        <v>284130</v>
      </c>
      <c r="X437" s="40">
        <f t="shared" si="43"/>
        <v>715870</v>
      </c>
    </row>
    <row r="438" spans="2:24" ht="63" hidden="1">
      <c r="B438" s="295"/>
      <c r="C438" s="295"/>
      <c r="D438" s="292"/>
      <c r="E438" s="88" t="s">
        <v>628</v>
      </c>
      <c r="F438" s="49">
        <v>955000</v>
      </c>
      <c r="G438" s="18">
        <f t="shared" si="45"/>
        <v>1</v>
      </c>
      <c r="H438" s="220">
        <v>955000</v>
      </c>
      <c r="I438" s="255">
        <v>3132</v>
      </c>
      <c r="J438" s="49">
        <f>955000-955000</f>
        <v>0</v>
      </c>
      <c r="K438" s="49"/>
      <c r="L438" s="49"/>
      <c r="M438" s="49"/>
      <c r="N438" s="49"/>
      <c r="O438" s="49">
        <v>13190</v>
      </c>
      <c r="P438" s="49">
        <f>70000-83190</f>
        <v>-13190</v>
      </c>
      <c r="Q438" s="49">
        <f>260000-260000</f>
        <v>0</v>
      </c>
      <c r="R438" s="49">
        <f>500000-500000</f>
        <v>0</v>
      </c>
      <c r="S438" s="49">
        <f>125000-13190-111810</f>
        <v>0</v>
      </c>
      <c r="T438" s="49"/>
      <c r="U438" s="49"/>
      <c r="V438" s="49"/>
      <c r="W438" s="49">
        <f>13187-13187</f>
        <v>0</v>
      </c>
      <c r="X438" s="40">
        <f t="shared" si="43"/>
        <v>0</v>
      </c>
    </row>
    <row r="439" spans="2:24" ht="78.75">
      <c r="B439" s="295"/>
      <c r="C439" s="295"/>
      <c r="D439" s="292"/>
      <c r="E439" s="88" t="s">
        <v>721</v>
      </c>
      <c r="F439" s="49">
        <v>67860</v>
      </c>
      <c r="G439" s="18">
        <f t="shared" si="45"/>
        <v>1</v>
      </c>
      <c r="H439" s="220">
        <v>67860</v>
      </c>
      <c r="I439" s="255">
        <v>3132</v>
      </c>
      <c r="J439" s="49">
        <v>67860</v>
      </c>
      <c r="K439" s="49"/>
      <c r="L439" s="49"/>
      <c r="M439" s="49"/>
      <c r="N439" s="49"/>
      <c r="O439" s="49">
        <v>17351</v>
      </c>
      <c r="P439" s="49">
        <v>-6370</v>
      </c>
      <c r="Q439" s="49">
        <v>50509</v>
      </c>
      <c r="R439" s="49">
        <v>6370</v>
      </c>
      <c r="S439" s="49"/>
      <c r="T439" s="49"/>
      <c r="U439" s="49"/>
      <c r="V439" s="49"/>
      <c r="W439" s="49">
        <f>5086.43+396+11868.35</f>
        <v>17350.78</v>
      </c>
      <c r="X439" s="40">
        <f t="shared" si="43"/>
        <v>50509.22</v>
      </c>
    </row>
    <row r="440" spans="2:24" ht="63">
      <c r="B440" s="295"/>
      <c r="C440" s="295"/>
      <c r="D440" s="292"/>
      <c r="E440" s="88" t="s">
        <v>785</v>
      </c>
      <c r="F440" s="49">
        <v>33930</v>
      </c>
      <c r="G440" s="18">
        <f t="shared" si="45"/>
        <v>1</v>
      </c>
      <c r="H440" s="220">
        <v>33930</v>
      </c>
      <c r="I440" s="255">
        <v>3132</v>
      </c>
      <c r="J440" s="49">
        <v>33930</v>
      </c>
      <c r="K440" s="49"/>
      <c r="L440" s="49"/>
      <c r="M440" s="49"/>
      <c r="N440" s="49"/>
      <c r="O440" s="49"/>
      <c r="P440" s="49"/>
      <c r="Q440" s="49"/>
      <c r="R440" s="49"/>
      <c r="S440" s="49">
        <v>33930</v>
      </c>
      <c r="T440" s="49"/>
      <c r="U440" s="49"/>
      <c r="V440" s="49"/>
      <c r="W440" s="49">
        <f>10174.8+23741.2</f>
        <v>33916</v>
      </c>
      <c r="X440" s="40">
        <f t="shared" si="43"/>
        <v>14</v>
      </c>
    </row>
    <row r="441" spans="2:24" ht="63">
      <c r="B441" s="295"/>
      <c r="C441" s="295"/>
      <c r="D441" s="292"/>
      <c r="E441" s="88" t="s">
        <v>91</v>
      </c>
      <c r="F441" s="49">
        <v>800</v>
      </c>
      <c r="G441" s="18">
        <f t="shared" si="45"/>
        <v>1</v>
      </c>
      <c r="H441" s="220">
        <v>800</v>
      </c>
      <c r="I441" s="255">
        <v>3132</v>
      </c>
      <c r="J441" s="49">
        <v>800000</v>
      </c>
      <c r="K441" s="49"/>
      <c r="L441" s="49"/>
      <c r="M441" s="49"/>
      <c r="N441" s="49"/>
      <c r="O441" s="49"/>
      <c r="P441" s="49">
        <f>300000-270000</f>
        <v>30000</v>
      </c>
      <c r="Q441" s="49">
        <v>300000</v>
      </c>
      <c r="R441" s="49">
        <f>200000+270000</f>
        <v>470000</v>
      </c>
      <c r="S441" s="49"/>
      <c r="T441" s="49"/>
      <c r="U441" s="49"/>
      <c r="V441" s="49"/>
      <c r="W441" s="49">
        <f>25783+1122+221089.8+221089.8</f>
        <v>469084.6</v>
      </c>
      <c r="X441" s="40">
        <f t="shared" si="43"/>
        <v>330915.4</v>
      </c>
    </row>
    <row r="442" spans="2:24" ht="68.25" customHeight="1">
      <c r="B442" s="295"/>
      <c r="C442" s="295"/>
      <c r="D442" s="292"/>
      <c r="E442" s="88" t="s">
        <v>551</v>
      </c>
      <c r="F442" s="49"/>
      <c r="G442" s="18"/>
      <c r="H442" s="220"/>
      <c r="I442" s="255">
        <v>3132</v>
      </c>
      <c r="J442" s="49">
        <f>12458.58</f>
        <v>12458.58</v>
      </c>
      <c r="K442" s="49"/>
      <c r="L442" s="49"/>
      <c r="M442" s="49"/>
      <c r="N442" s="49"/>
      <c r="O442" s="49"/>
      <c r="P442" s="49"/>
      <c r="Q442" s="49"/>
      <c r="R442" s="49">
        <v>12458.58</v>
      </c>
      <c r="S442" s="49"/>
      <c r="T442" s="49"/>
      <c r="U442" s="49"/>
      <c r="V442" s="49"/>
      <c r="W442" s="49">
        <v>12344</v>
      </c>
      <c r="X442" s="40">
        <f t="shared" si="43"/>
        <v>114.57999999999993</v>
      </c>
    </row>
    <row r="443" spans="2:24" ht="68.25" customHeight="1">
      <c r="B443" s="295"/>
      <c r="C443" s="295"/>
      <c r="D443" s="292"/>
      <c r="E443" s="88" t="s">
        <v>390</v>
      </c>
      <c r="F443" s="49"/>
      <c r="G443" s="18"/>
      <c r="H443" s="220"/>
      <c r="I443" s="255">
        <v>3132</v>
      </c>
      <c r="J443" s="49">
        <v>500000</v>
      </c>
      <c r="K443" s="49"/>
      <c r="L443" s="49"/>
      <c r="M443" s="49"/>
      <c r="N443" s="49"/>
      <c r="O443" s="49"/>
      <c r="P443" s="49"/>
      <c r="Q443" s="49"/>
      <c r="R443" s="49"/>
      <c r="S443" s="49">
        <v>500000</v>
      </c>
      <c r="T443" s="49"/>
      <c r="U443" s="49"/>
      <c r="V443" s="49"/>
      <c r="W443" s="49"/>
      <c r="X443" s="40">
        <f t="shared" si="43"/>
        <v>500000</v>
      </c>
    </row>
    <row r="444" spans="2:24" ht="68.25" customHeight="1">
      <c r="B444" s="295"/>
      <c r="C444" s="295"/>
      <c r="D444" s="292"/>
      <c r="E444" s="88" t="s">
        <v>391</v>
      </c>
      <c r="F444" s="49"/>
      <c r="G444" s="18"/>
      <c r="H444" s="220"/>
      <c r="I444" s="255">
        <v>3132</v>
      </c>
      <c r="J444" s="49">
        <v>161800</v>
      </c>
      <c r="K444" s="49"/>
      <c r="L444" s="49"/>
      <c r="M444" s="49"/>
      <c r="N444" s="49"/>
      <c r="O444" s="49"/>
      <c r="P444" s="49"/>
      <c r="Q444" s="49"/>
      <c r="R444" s="49"/>
      <c r="S444" s="49">
        <v>161800</v>
      </c>
      <c r="T444" s="49"/>
      <c r="U444" s="49"/>
      <c r="V444" s="49"/>
      <c r="W444" s="49"/>
      <c r="X444" s="40">
        <f t="shared" si="43"/>
        <v>161800</v>
      </c>
    </row>
    <row r="445" spans="2:24" ht="68.25" customHeight="1">
      <c r="B445" s="295"/>
      <c r="C445" s="295"/>
      <c r="D445" s="292"/>
      <c r="E445" s="88" t="s">
        <v>392</v>
      </c>
      <c r="F445" s="49"/>
      <c r="G445" s="18"/>
      <c r="H445" s="220"/>
      <c r="I445" s="255">
        <v>3132</v>
      </c>
      <c r="J445" s="49">
        <v>746000</v>
      </c>
      <c r="K445" s="49"/>
      <c r="L445" s="49"/>
      <c r="M445" s="49"/>
      <c r="N445" s="49"/>
      <c r="O445" s="49"/>
      <c r="P445" s="49"/>
      <c r="Q445" s="49"/>
      <c r="R445" s="49"/>
      <c r="S445" s="49">
        <v>746000</v>
      </c>
      <c r="T445" s="49"/>
      <c r="U445" s="49"/>
      <c r="V445" s="49"/>
      <c r="W445" s="49">
        <f>218263.68</f>
        <v>218263.68</v>
      </c>
      <c r="X445" s="40">
        <f t="shared" si="43"/>
        <v>527736.3200000001</v>
      </c>
    </row>
    <row r="446" spans="2:24" ht="31.5">
      <c r="B446" s="302"/>
      <c r="C446" s="302"/>
      <c r="D446" s="305"/>
      <c r="E446" s="88" t="s">
        <v>782</v>
      </c>
      <c r="F446" s="49"/>
      <c r="G446" s="18"/>
      <c r="H446" s="220"/>
      <c r="I446" s="255">
        <v>3110</v>
      </c>
      <c r="J446" s="49">
        <v>650000</v>
      </c>
      <c r="K446" s="49"/>
      <c r="L446" s="49"/>
      <c r="M446" s="49"/>
      <c r="N446" s="49"/>
      <c r="O446" s="49"/>
      <c r="P446" s="49"/>
      <c r="Q446" s="49"/>
      <c r="R446" s="49">
        <v>650000</v>
      </c>
      <c r="S446" s="49"/>
      <c r="T446" s="49"/>
      <c r="U446" s="49"/>
      <c r="V446" s="49"/>
      <c r="W446" s="49"/>
      <c r="X446" s="40">
        <f t="shared" si="43"/>
        <v>650000</v>
      </c>
    </row>
    <row r="447" spans="2:24" ht="15.75">
      <c r="B447" s="301" t="s">
        <v>882</v>
      </c>
      <c r="C447" s="301" t="s">
        <v>234</v>
      </c>
      <c r="D447" s="304" t="s">
        <v>233</v>
      </c>
      <c r="E447" s="94"/>
      <c r="F447" s="76"/>
      <c r="G447" s="99"/>
      <c r="H447" s="224"/>
      <c r="I447" s="255"/>
      <c r="J447" s="211">
        <f>J448+J449+J450+J451+J452+J453+J454+J455+J457+J456</f>
        <v>3288517.5100000002</v>
      </c>
      <c r="K447" s="211">
        <f aca="true" t="shared" si="46" ref="K447:W447">K448+K449+K450+K451+K452+K453+K454+K455+K457+K456</f>
        <v>0</v>
      </c>
      <c r="L447" s="211">
        <f t="shared" si="46"/>
        <v>223334.82</v>
      </c>
      <c r="M447" s="211">
        <f t="shared" si="46"/>
        <v>0</v>
      </c>
      <c r="N447" s="211">
        <f t="shared" si="46"/>
        <v>0</v>
      </c>
      <c r="O447" s="211">
        <f t="shared" si="46"/>
        <v>153500</v>
      </c>
      <c r="P447" s="211">
        <f t="shared" si="46"/>
        <v>538446</v>
      </c>
      <c r="Q447" s="211">
        <f t="shared" si="46"/>
        <v>345000</v>
      </c>
      <c r="R447" s="211">
        <f t="shared" si="46"/>
        <v>1647278.69</v>
      </c>
      <c r="S447" s="211">
        <f t="shared" si="46"/>
        <v>380958</v>
      </c>
      <c r="T447" s="211">
        <f t="shared" si="46"/>
        <v>0</v>
      </c>
      <c r="U447" s="211">
        <f t="shared" si="46"/>
        <v>0</v>
      </c>
      <c r="V447" s="211">
        <f t="shared" si="46"/>
        <v>0</v>
      </c>
      <c r="W447" s="211">
        <f t="shared" si="46"/>
        <v>1462169.1199999999</v>
      </c>
      <c r="X447" s="184">
        <f t="shared" si="43"/>
        <v>1826348.39</v>
      </c>
    </row>
    <row r="448" spans="2:24" ht="94.5">
      <c r="B448" s="295"/>
      <c r="C448" s="295"/>
      <c r="D448" s="292"/>
      <c r="E448" s="94" t="s">
        <v>328</v>
      </c>
      <c r="F448" s="76">
        <v>223334.82</v>
      </c>
      <c r="G448" s="18">
        <f aca="true" t="shared" si="47" ref="G448:G455">100%-((F448-H448)/F448)</f>
        <v>1</v>
      </c>
      <c r="H448" s="224">
        <v>223334.82</v>
      </c>
      <c r="I448" s="255">
        <v>3132</v>
      </c>
      <c r="J448" s="76">
        <f>223334.82-4170</f>
        <v>219164.82</v>
      </c>
      <c r="K448" s="49"/>
      <c r="L448" s="147">
        <v>223334.82</v>
      </c>
      <c r="M448" s="49"/>
      <c r="N448" s="49"/>
      <c r="O448" s="49"/>
      <c r="P448" s="49"/>
      <c r="Q448" s="49"/>
      <c r="R448" s="49">
        <v>-4170</v>
      </c>
      <c r="S448" s="49"/>
      <c r="T448" s="49"/>
      <c r="U448" s="49"/>
      <c r="V448" s="49"/>
      <c r="W448" s="147">
        <f>223334.82-4170</f>
        <v>219164.82</v>
      </c>
      <c r="X448" s="40">
        <f t="shared" si="43"/>
        <v>0</v>
      </c>
    </row>
    <row r="449" spans="2:24" ht="78.75">
      <c r="B449" s="295"/>
      <c r="C449" s="295"/>
      <c r="D449" s="292"/>
      <c r="E449" s="95" t="s">
        <v>92</v>
      </c>
      <c r="F449" s="76">
        <v>101790</v>
      </c>
      <c r="G449" s="18">
        <f t="shared" si="47"/>
        <v>1</v>
      </c>
      <c r="H449" s="224">
        <v>101790</v>
      </c>
      <c r="I449" s="255">
        <v>3132</v>
      </c>
      <c r="J449" s="49">
        <f>101790-1831</f>
        <v>99959</v>
      </c>
      <c r="K449" s="49"/>
      <c r="L449" s="49"/>
      <c r="M449" s="49"/>
      <c r="N449" s="49"/>
      <c r="O449" s="49">
        <v>31400</v>
      </c>
      <c r="P449" s="49">
        <f>70390-1831</f>
        <v>68559</v>
      </c>
      <c r="Q449" s="49"/>
      <c r="R449" s="49"/>
      <c r="S449" s="49"/>
      <c r="T449" s="49"/>
      <c r="U449" s="49"/>
      <c r="V449" s="49"/>
      <c r="W449" s="49">
        <f>972+29414.4+63327.3-105</f>
        <v>93608.70000000001</v>
      </c>
      <c r="X449" s="40">
        <f t="shared" si="43"/>
        <v>6350.299999999988</v>
      </c>
    </row>
    <row r="450" spans="2:24" ht="94.5" hidden="1">
      <c r="B450" s="295"/>
      <c r="C450" s="295"/>
      <c r="D450" s="292"/>
      <c r="E450" s="95" t="s">
        <v>670</v>
      </c>
      <c r="F450" s="76">
        <v>160000</v>
      </c>
      <c r="G450" s="18">
        <f t="shared" si="47"/>
        <v>1</v>
      </c>
      <c r="H450" s="224">
        <v>160000</v>
      </c>
      <c r="I450" s="255">
        <v>3132</v>
      </c>
      <c r="J450" s="49">
        <f>160000+23162-183162</f>
        <v>0</v>
      </c>
      <c r="K450" s="49"/>
      <c r="L450" s="49"/>
      <c r="M450" s="49"/>
      <c r="N450" s="49"/>
      <c r="O450" s="49">
        <v>12800</v>
      </c>
      <c r="P450" s="49">
        <f>44200+23162</f>
        <v>67362</v>
      </c>
      <c r="Q450" s="49">
        <v>103000</v>
      </c>
      <c r="R450" s="49"/>
      <c r="S450" s="49">
        <v>-183162</v>
      </c>
      <c r="T450" s="49"/>
      <c r="U450" s="49"/>
      <c r="V450" s="49"/>
      <c r="W450" s="49"/>
      <c r="X450" s="40">
        <f t="shared" si="43"/>
        <v>0</v>
      </c>
    </row>
    <row r="451" spans="2:24" ht="94.5" hidden="1">
      <c r="B451" s="295"/>
      <c r="C451" s="295"/>
      <c r="D451" s="292"/>
      <c r="E451" s="95" t="s">
        <v>715</v>
      </c>
      <c r="F451" s="76">
        <v>180000</v>
      </c>
      <c r="G451" s="18">
        <f t="shared" si="47"/>
        <v>1</v>
      </c>
      <c r="H451" s="224">
        <v>180000</v>
      </c>
      <c r="I451" s="255">
        <v>3132</v>
      </c>
      <c r="J451" s="49">
        <f>180000-14983-165017</f>
        <v>0</v>
      </c>
      <c r="K451" s="49"/>
      <c r="L451" s="49"/>
      <c r="M451" s="49"/>
      <c r="N451" s="49"/>
      <c r="O451" s="49">
        <v>14400</v>
      </c>
      <c r="P451" s="49">
        <v>49700</v>
      </c>
      <c r="Q451" s="49"/>
      <c r="R451" s="49">
        <f>115900-14983</f>
        <v>100917</v>
      </c>
      <c r="S451" s="49">
        <v>-165017</v>
      </c>
      <c r="T451" s="49"/>
      <c r="U451" s="49"/>
      <c r="V451" s="49"/>
      <c r="W451" s="49"/>
      <c r="X451" s="40">
        <f t="shared" si="43"/>
        <v>0</v>
      </c>
    </row>
    <row r="452" spans="2:24" ht="94.5" hidden="1">
      <c r="B452" s="295"/>
      <c r="C452" s="295"/>
      <c r="D452" s="292"/>
      <c r="E452" s="95" t="s">
        <v>730</v>
      </c>
      <c r="F452" s="76">
        <v>180000</v>
      </c>
      <c r="G452" s="18">
        <f t="shared" si="47"/>
        <v>1</v>
      </c>
      <c r="H452" s="224">
        <v>180000</v>
      </c>
      <c r="I452" s="255">
        <v>3132</v>
      </c>
      <c r="J452" s="49">
        <f>180000-5636.31-174363.69</f>
        <v>0</v>
      </c>
      <c r="K452" s="49"/>
      <c r="L452" s="49"/>
      <c r="M452" s="49"/>
      <c r="N452" s="49"/>
      <c r="O452" s="49">
        <v>14400</v>
      </c>
      <c r="P452" s="49">
        <v>49700</v>
      </c>
      <c r="Q452" s="49"/>
      <c r="R452" s="49">
        <f>115900-5636.31</f>
        <v>110263.69</v>
      </c>
      <c r="S452" s="49">
        <v>-174363.69</v>
      </c>
      <c r="T452" s="49"/>
      <c r="U452" s="49"/>
      <c r="V452" s="49"/>
      <c r="W452" s="49"/>
      <c r="X452" s="40">
        <f t="shared" si="43"/>
        <v>0</v>
      </c>
    </row>
    <row r="453" spans="2:24" ht="78.75" hidden="1">
      <c r="B453" s="295"/>
      <c r="C453" s="295"/>
      <c r="D453" s="292"/>
      <c r="E453" s="95" t="s">
        <v>488</v>
      </c>
      <c r="F453" s="76">
        <v>375000</v>
      </c>
      <c r="G453" s="18">
        <f t="shared" si="47"/>
        <v>1</v>
      </c>
      <c r="H453" s="224">
        <v>375000</v>
      </c>
      <c r="I453" s="255">
        <v>3132</v>
      </c>
      <c r="J453" s="49">
        <f>375000+124906-499906</f>
        <v>0</v>
      </c>
      <c r="K453" s="49"/>
      <c r="L453" s="49"/>
      <c r="M453" s="49"/>
      <c r="N453" s="49"/>
      <c r="O453" s="49">
        <v>30000</v>
      </c>
      <c r="P453" s="49">
        <f>103000+111336</f>
        <v>214336</v>
      </c>
      <c r="Q453" s="49">
        <f>242000-34200-20700</f>
        <v>187100</v>
      </c>
      <c r="R453" s="49">
        <f>13570+34200+20700</f>
        <v>68470</v>
      </c>
      <c r="S453" s="49">
        <v>-499906</v>
      </c>
      <c r="T453" s="49"/>
      <c r="U453" s="49"/>
      <c r="V453" s="49"/>
      <c r="W453" s="49"/>
      <c r="X453" s="40">
        <f t="shared" si="43"/>
        <v>0</v>
      </c>
    </row>
    <row r="454" spans="2:24" ht="94.5" hidden="1">
      <c r="B454" s="295"/>
      <c r="C454" s="295"/>
      <c r="D454" s="292"/>
      <c r="E454" s="95" t="s">
        <v>23</v>
      </c>
      <c r="F454" s="76">
        <v>78858</v>
      </c>
      <c r="G454" s="18">
        <f t="shared" si="47"/>
        <v>1</v>
      </c>
      <c r="H454" s="224">
        <v>78858</v>
      </c>
      <c r="I454" s="255">
        <v>3132</v>
      </c>
      <c r="J454" s="49">
        <f>78858-1474-77384</f>
        <v>0</v>
      </c>
      <c r="K454" s="49"/>
      <c r="L454" s="49"/>
      <c r="M454" s="49"/>
      <c r="N454" s="49"/>
      <c r="O454" s="49">
        <v>6300</v>
      </c>
      <c r="P454" s="49">
        <f>21700-1474</f>
        <v>20226</v>
      </c>
      <c r="Q454" s="49"/>
      <c r="R454" s="49">
        <v>50858</v>
      </c>
      <c r="S454" s="49">
        <v>-77384</v>
      </c>
      <c r="T454" s="49"/>
      <c r="U454" s="49"/>
      <c r="V454" s="49"/>
      <c r="W454" s="49"/>
      <c r="X454" s="40">
        <f t="shared" si="43"/>
        <v>0</v>
      </c>
    </row>
    <row r="455" spans="2:24" ht="94.5">
      <c r="B455" s="295"/>
      <c r="C455" s="295"/>
      <c r="D455" s="292"/>
      <c r="E455" s="95" t="s">
        <v>357</v>
      </c>
      <c r="F455" s="76">
        <v>475000</v>
      </c>
      <c r="G455" s="18">
        <f t="shared" si="47"/>
        <v>1</v>
      </c>
      <c r="H455" s="224">
        <v>475000</v>
      </c>
      <c r="I455" s="255">
        <v>3132</v>
      </c>
      <c r="J455" s="49">
        <f>427600-61797+380958</f>
        <v>746761</v>
      </c>
      <c r="K455" s="49"/>
      <c r="L455" s="49"/>
      <c r="M455" s="49"/>
      <c r="N455" s="49"/>
      <c r="O455" s="49">
        <v>34200</v>
      </c>
      <c r="P455" s="49">
        <f>118000-23760-61797</f>
        <v>32443</v>
      </c>
      <c r="Q455" s="49">
        <f>34200+20700</f>
        <v>54900</v>
      </c>
      <c r="R455" s="49">
        <f>275400+23760-34200-20700</f>
        <v>244260</v>
      </c>
      <c r="S455" s="49">
        <v>380958</v>
      </c>
      <c r="T455" s="49"/>
      <c r="U455" s="49"/>
      <c r="V455" s="49"/>
      <c r="W455" s="49">
        <f>66643+34193.36+20700+234284.84+1000</f>
        <v>356821.2</v>
      </c>
      <c r="X455" s="40">
        <f t="shared" si="43"/>
        <v>389939.8</v>
      </c>
    </row>
    <row r="456" spans="2:24" ht="78.75">
      <c r="B456" s="295"/>
      <c r="C456" s="295"/>
      <c r="D456" s="292"/>
      <c r="E456" s="95" t="s">
        <v>356</v>
      </c>
      <c r="F456" s="76"/>
      <c r="G456" s="18"/>
      <c r="H456" s="224"/>
      <c r="I456" s="255">
        <v>3132</v>
      </c>
      <c r="J456" s="49">
        <f>183162+165017+174363.69+499906+77384</f>
        <v>1099832.69</v>
      </c>
      <c r="K456" s="49"/>
      <c r="L456" s="49"/>
      <c r="M456" s="49"/>
      <c r="N456" s="49"/>
      <c r="O456" s="49"/>
      <c r="P456" s="49"/>
      <c r="Q456" s="49"/>
      <c r="R456" s="49"/>
      <c r="S456" s="49">
        <f>183162+165017+174363.69+499906+77384</f>
        <v>1099832.69</v>
      </c>
      <c r="T456" s="49"/>
      <c r="U456" s="49"/>
      <c r="V456" s="49"/>
      <c r="W456" s="49">
        <f>52225.87+10694+47185.24+9946+49586.46+10450+137236.28+28898+15035.39+3120+105.96</f>
        <v>364483.2</v>
      </c>
      <c r="X456" s="40">
        <f t="shared" si="43"/>
        <v>735349.49</v>
      </c>
    </row>
    <row r="457" spans="2:24" ht="47.25">
      <c r="B457" s="295"/>
      <c r="C457" s="295"/>
      <c r="D457" s="292"/>
      <c r="E457" s="95" t="s">
        <v>75</v>
      </c>
      <c r="F457" s="76"/>
      <c r="G457" s="18"/>
      <c r="H457" s="224"/>
      <c r="I457" s="255"/>
      <c r="J457" s="49">
        <f>SUM(J458:J472)</f>
        <v>1122800</v>
      </c>
      <c r="K457" s="49">
        <f aca="true" t="shared" si="48" ref="K457:W457">SUM(K458:K472)</f>
        <v>0</v>
      </c>
      <c r="L457" s="49">
        <f t="shared" si="48"/>
        <v>0</v>
      </c>
      <c r="M457" s="49">
        <f t="shared" si="48"/>
        <v>0</v>
      </c>
      <c r="N457" s="49">
        <f t="shared" si="48"/>
        <v>0</v>
      </c>
      <c r="O457" s="49">
        <f t="shared" si="48"/>
        <v>10000</v>
      </c>
      <c r="P457" s="49">
        <f t="shared" si="48"/>
        <v>36120</v>
      </c>
      <c r="Q457" s="49">
        <f t="shared" si="48"/>
        <v>0</v>
      </c>
      <c r="R457" s="49">
        <f t="shared" si="48"/>
        <v>1076680</v>
      </c>
      <c r="S457" s="49">
        <f t="shared" si="48"/>
        <v>0</v>
      </c>
      <c r="T457" s="49">
        <f t="shared" si="48"/>
        <v>0</v>
      </c>
      <c r="U457" s="49">
        <f t="shared" si="48"/>
        <v>0</v>
      </c>
      <c r="V457" s="49">
        <f t="shared" si="48"/>
        <v>0</v>
      </c>
      <c r="W457" s="49">
        <f t="shared" si="48"/>
        <v>428091.2</v>
      </c>
      <c r="X457" s="40">
        <f t="shared" si="43"/>
        <v>694708.8</v>
      </c>
    </row>
    <row r="458" spans="2:24" ht="31.5">
      <c r="B458" s="295"/>
      <c r="C458" s="295"/>
      <c r="D458" s="292"/>
      <c r="E458" s="96" t="s">
        <v>76</v>
      </c>
      <c r="F458" s="76"/>
      <c r="G458" s="18"/>
      <c r="H458" s="224"/>
      <c r="I458" s="255">
        <v>3110</v>
      </c>
      <c r="J458" s="49">
        <f>200000+134618.96</f>
        <v>334618.95999999996</v>
      </c>
      <c r="K458" s="49"/>
      <c r="L458" s="49"/>
      <c r="M458" s="49"/>
      <c r="N458" s="49"/>
      <c r="O458" s="49"/>
      <c r="P458" s="49"/>
      <c r="Q458" s="49"/>
      <c r="R458" s="49">
        <v>200000</v>
      </c>
      <c r="S458" s="49">
        <v>134618.96</v>
      </c>
      <c r="T458" s="49"/>
      <c r="U458" s="49"/>
      <c r="V458" s="49"/>
      <c r="W458" s="49">
        <v>334618.96</v>
      </c>
      <c r="X458" s="40">
        <f t="shared" si="43"/>
        <v>0</v>
      </c>
    </row>
    <row r="459" spans="2:24" ht="15.75">
      <c r="B459" s="295"/>
      <c r="C459" s="295"/>
      <c r="D459" s="292"/>
      <c r="E459" s="96" t="s">
        <v>77</v>
      </c>
      <c r="F459" s="76"/>
      <c r="G459" s="18"/>
      <c r="H459" s="224"/>
      <c r="I459" s="255">
        <v>3110</v>
      </c>
      <c r="J459" s="49">
        <v>200000</v>
      </c>
      <c r="K459" s="49"/>
      <c r="L459" s="49"/>
      <c r="M459" s="49"/>
      <c r="N459" s="49"/>
      <c r="O459" s="49"/>
      <c r="P459" s="49"/>
      <c r="Q459" s="49"/>
      <c r="R459" s="49">
        <v>200000</v>
      </c>
      <c r="S459" s="49"/>
      <c r="T459" s="49"/>
      <c r="U459" s="49"/>
      <c r="V459" s="49"/>
      <c r="W459" s="49"/>
      <c r="X459" s="40">
        <f t="shared" si="43"/>
        <v>200000</v>
      </c>
    </row>
    <row r="460" spans="2:24" ht="15.75">
      <c r="B460" s="295"/>
      <c r="C460" s="295"/>
      <c r="D460" s="292"/>
      <c r="E460" s="96" t="s">
        <v>78</v>
      </c>
      <c r="F460" s="76"/>
      <c r="G460" s="18"/>
      <c r="H460" s="224"/>
      <c r="I460" s="255">
        <v>3110</v>
      </c>
      <c r="J460" s="49">
        <v>52000</v>
      </c>
      <c r="K460" s="49"/>
      <c r="L460" s="49"/>
      <c r="M460" s="49"/>
      <c r="N460" s="49"/>
      <c r="O460" s="49"/>
      <c r="P460" s="49"/>
      <c r="Q460" s="49"/>
      <c r="R460" s="49">
        <v>52000</v>
      </c>
      <c r="S460" s="49"/>
      <c r="T460" s="49"/>
      <c r="U460" s="49"/>
      <c r="V460" s="49"/>
      <c r="W460" s="49"/>
      <c r="X460" s="40">
        <f t="shared" si="43"/>
        <v>52000</v>
      </c>
    </row>
    <row r="461" spans="2:24" ht="15.75">
      <c r="B461" s="295"/>
      <c r="C461" s="295"/>
      <c r="D461" s="292"/>
      <c r="E461" s="96" t="s">
        <v>79</v>
      </c>
      <c r="F461" s="76"/>
      <c r="G461" s="18"/>
      <c r="H461" s="224"/>
      <c r="I461" s="255">
        <v>3110</v>
      </c>
      <c r="J461" s="49">
        <v>100000</v>
      </c>
      <c r="K461" s="49"/>
      <c r="L461" s="49"/>
      <c r="M461" s="49"/>
      <c r="N461" s="49"/>
      <c r="O461" s="49"/>
      <c r="P461" s="49"/>
      <c r="Q461" s="49"/>
      <c r="R461" s="49">
        <v>100000</v>
      </c>
      <c r="S461" s="49"/>
      <c r="T461" s="49"/>
      <c r="U461" s="49"/>
      <c r="V461" s="49"/>
      <c r="W461" s="49"/>
      <c r="X461" s="40">
        <f t="shared" si="43"/>
        <v>100000</v>
      </c>
    </row>
    <row r="462" spans="2:24" ht="15.75">
      <c r="B462" s="295"/>
      <c r="C462" s="295"/>
      <c r="D462" s="292"/>
      <c r="E462" s="96" t="s">
        <v>80</v>
      </c>
      <c r="F462" s="76"/>
      <c r="G462" s="18"/>
      <c r="H462" s="224"/>
      <c r="I462" s="255">
        <v>3110</v>
      </c>
      <c r="J462" s="49">
        <v>132000</v>
      </c>
      <c r="K462" s="49"/>
      <c r="L462" s="49"/>
      <c r="M462" s="49"/>
      <c r="N462" s="49"/>
      <c r="O462" s="49"/>
      <c r="P462" s="49"/>
      <c r="Q462" s="49"/>
      <c r="R462" s="49">
        <v>132000</v>
      </c>
      <c r="S462" s="49"/>
      <c r="T462" s="49"/>
      <c r="U462" s="49"/>
      <c r="V462" s="49"/>
      <c r="W462" s="49"/>
      <c r="X462" s="40">
        <f t="shared" si="43"/>
        <v>132000</v>
      </c>
    </row>
    <row r="463" spans="2:24" ht="15.75">
      <c r="B463" s="295"/>
      <c r="C463" s="295"/>
      <c r="D463" s="292"/>
      <c r="E463" s="96" t="s">
        <v>81</v>
      </c>
      <c r="F463" s="76"/>
      <c r="G463" s="18"/>
      <c r="H463" s="224"/>
      <c r="I463" s="255">
        <v>3110</v>
      </c>
      <c r="J463" s="49">
        <v>20000</v>
      </c>
      <c r="K463" s="49"/>
      <c r="L463" s="49"/>
      <c r="M463" s="49"/>
      <c r="N463" s="49"/>
      <c r="O463" s="49"/>
      <c r="P463" s="49"/>
      <c r="Q463" s="49"/>
      <c r="R463" s="49">
        <v>20000</v>
      </c>
      <c r="S463" s="49"/>
      <c r="T463" s="49"/>
      <c r="U463" s="49"/>
      <c r="V463" s="49"/>
      <c r="W463" s="49"/>
      <c r="X463" s="40">
        <f t="shared" si="43"/>
        <v>20000</v>
      </c>
    </row>
    <row r="464" spans="2:24" ht="15.75" hidden="1">
      <c r="B464" s="295"/>
      <c r="C464" s="295"/>
      <c r="D464" s="292"/>
      <c r="E464" s="96" t="s">
        <v>82</v>
      </c>
      <c r="F464" s="76"/>
      <c r="G464" s="18"/>
      <c r="H464" s="224"/>
      <c r="I464" s="255">
        <v>3110</v>
      </c>
      <c r="J464" s="49">
        <f>30000-30000</f>
        <v>0</v>
      </c>
      <c r="K464" s="49"/>
      <c r="L464" s="49"/>
      <c r="M464" s="49"/>
      <c r="N464" s="49"/>
      <c r="O464" s="49"/>
      <c r="P464" s="49"/>
      <c r="Q464" s="49"/>
      <c r="R464" s="49">
        <v>30000</v>
      </c>
      <c r="S464" s="49">
        <v>-30000</v>
      </c>
      <c r="T464" s="49"/>
      <c r="U464" s="49"/>
      <c r="V464" s="49"/>
      <c r="W464" s="49"/>
      <c r="X464" s="40">
        <f t="shared" si="43"/>
        <v>0</v>
      </c>
    </row>
    <row r="465" spans="2:24" ht="15.75">
      <c r="B465" s="295"/>
      <c r="C465" s="295"/>
      <c r="D465" s="292"/>
      <c r="E465" s="96" t="s">
        <v>83</v>
      </c>
      <c r="F465" s="76"/>
      <c r="G465" s="18"/>
      <c r="H465" s="224"/>
      <c r="I465" s="255">
        <v>3110</v>
      </c>
      <c r="J465" s="49">
        <v>109400</v>
      </c>
      <c r="K465" s="49"/>
      <c r="L465" s="49"/>
      <c r="M465" s="49"/>
      <c r="N465" s="49"/>
      <c r="O465" s="49"/>
      <c r="P465" s="49"/>
      <c r="Q465" s="49"/>
      <c r="R465" s="49">
        <v>109400</v>
      </c>
      <c r="S465" s="49"/>
      <c r="T465" s="49"/>
      <c r="U465" s="49"/>
      <c r="V465" s="49"/>
      <c r="W465" s="49"/>
      <c r="X465" s="40">
        <f t="shared" si="43"/>
        <v>109400</v>
      </c>
    </row>
    <row r="466" spans="2:24" ht="15.75">
      <c r="B466" s="295"/>
      <c r="C466" s="295"/>
      <c r="D466" s="292"/>
      <c r="E466" s="96" t="s">
        <v>84</v>
      </c>
      <c r="F466" s="76"/>
      <c r="G466" s="18"/>
      <c r="H466" s="224"/>
      <c r="I466" s="255">
        <v>3110</v>
      </c>
      <c r="J466" s="49">
        <f>10000-47.76</f>
        <v>9952.24</v>
      </c>
      <c r="K466" s="49"/>
      <c r="L466" s="49"/>
      <c r="M466" s="49"/>
      <c r="N466" s="49"/>
      <c r="O466" s="49">
        <v>10000</v>
      </c>
      <c r="P466" s="49"/>
      <c r="Q466" s="49"/>
      <c r="R466" s="49"/>
      <c r="S466" s="49">
        <v>-47.76</v>
      </c>
      <c r="T466" s="49"/>
      <c r="U466" s="49"/>
      <c r="V466" s="49"/>
      <c r="W466" s="49">
        <f>10000-47.76</f>
        <v>9952.24</v>
      </c>
      <c r="X466" s="40">
        <f t="shared" si="43"/>
        <v>0</v>
      </c>
    </row>
    <row r="467" spans="2:24" ht="31.5" hidden="1">
      <c r="B467" s="295"/>
      <c r="C467" s="295"/>
      <c r="D467" s="292"/>
      <c r="E467" s="96" t="s">
        <v>85</v>
      </c>
      <c r="F467" s="76"/>
      <c r="G467" s="18"/>
      <c r="H467" s="224"/>
      <c r="I467" s="255">
        <v>3110</v>
      </c>
      <c r="J467" s="49">
        <f>40000-40000</f>
        <v>0</v>
      </c>
      <c r="K467" s="49"/>
      <c r="L467" s="49"/>
      <c r="M467" s="49"/>
      <c r="N467" s="49"/>
      <c r="O467" s="49"/>
      <c r="P467" s="49"/>
      <c r="Q467" s="49"/>
      <c r="R467" s="49">
        <v>40000</v>
      </c>
      <c r="S467" s="49">
        <v>-40000</v>
      </c>
      <c r="T467" s="49"/>
      <c r="U467" s="49"/>
      <c r="V467" s="49"/>
      <c r="W467" s="49"/>
      <c r="X467" s="40">
        <f t="shared" si="43"/>
        <v>0</v>
      </c>
    </row>
    <row r="468" spans="2:24" ht="15.75">
      <c r="B468" s="295"/>
      <c r="C468" s="295"/>
      <c r="D468" s="292"/>
      <c r="E468" s="96" t="s">
        <v>86</v>
      </c>
      <c r="F468" s="76"/>
      <c r="G468" s="18"/>
      <c r="H468" s="224"/>
      <c r="I468" s="255">
        <v>3110</v>
      </c>
      <c r="J468" s="49">
        <v>18000</v>
      </c>
      <c r="K468" s="49"/>
      <c r="L468" s="49"/>
      <c r="M468" s="49"/>
      <c r="N468" s="49"/>
      <c r="O468" s="49"/>
      <c r="P468" s="49"/>
      <c r="Q468" s="49"/>
      <c r="R468" s="49">
        <v>18000</v>
      </c>
      <c r="S468" s="49"/>
      <c r="T468" s="49"/>
      <c r="U468" s="49"/>
      <c r="V468" s="49"/>
      <c r="W468" s="49"/>
      <c r="X468" s="40">
        <f t="shared" si="43"/>
        <v>18000</v>
      </c>
    </row>
    <row r="469" spans="2:24" ht="15.75">
      <c r="B469" s="295"/>
      <c r="C469" s="295"/>
      <c r="D469" s="292"/>
      <c r="E469" s="96" t="s">
        <v>776</v>
      </c>
      <c r="F469" s="76"/>
      <c r="G469" s="18"/>
      <c r="H469" s="224"/>
      <c r="I469" s="255">
        <v>3110</v>
      </c>
      <c r="J469" s="49">
        <f>60000+3308.8</f>
        <v>63308.8</v>
      </c>
      <c r="K469" s="49"/>
      <c r="L469" s="49"/>
      <c r="M469" s="49"/>
      <c r="N469" s="49"/>
      <c r="O469" s="49"/>
      <c r="P469" s="49"/>
      <c r="Q469" s="49"/>
      <c r="R469" s="49">
        <v>60000</v>
      </c>
      <c r="S469" s="49">
        <v>3308.8</v>
      </c>
      <c r="T469" s="49"/>
      <c r="U469" s="49"/>
      <c r="V469" s="49"/>
      <c r="W469" s="49"/>
      <c r="X469" s="40">
        <f t="shared" si="43"/>
        <v>63308.8</v>
      </c>
    </row>
    <row r="470" spans="2:24" ht="15.75" hidden="1">
      <c r="B470" s="295"/>
      <c r="C470" s="295"/>
      <c r="D470" s="292"/>
      <c r="E470" s="96" t="s">
        <v>87</v>
      </c>
      <c r="F470" s="76"/>
      <c r="G470" s="18"/>
      <c r="H470" s="224"/>
      <c r="I470" s="255">
        <v>3110</v>
      </c>
      <c r="J470" s="49">
        <f>66000-66000</f>
        <v>0</v>
      </c>
      <c r="K470" s="49"/>
      <c r="L470" s="49"/>
      <c r="M470" s="49"/>
      <c r="N470" s="49"/>
      <c r="O470" s="49"/>
      <c r="P470" s="49"/>
      <c r="Q470" s="49"/>
      <c r="R470" s="49">
        <v>66000</v>
      </c>
      <c r="S470" s="49">
        <v>-66000</v>
      </c>
      <c r="T470" s="49"/>
      <c r="U470" s="49"/>
      <c r="V470" s="49"/>
      <c r="W470" s="49"/>
      <c r="X470" s="40">
        <f t="shared" si="43"/>
        <v>0</v>
      </c>
    </row>
    <row r="471" spans="2:24" ht="15.75">
      <c r="B471" s="295"/>
      <c r="C471" s="295"/>
      <c r="D471" s="292"/>
      <c r="E471" s="96" t="s">
        <v>88</v>
      </c>
      <c r="F471" s="76"/>
      <c r="G471" s="18"/>
      <c r="H471" s="224"/>
      <c r="I471" s="255">
        <v>3110</v>
      </c>
      <c r="J471" s="49">
        <f>38000-1880</f>
        <v>36120</v>
      </c>
      <c r="K471" s="49"/>
      <c r="L471" s="49"/>
      <c r="M471" s="49"/>
      <c r="N471" s="49"/>
      <c r="O471" s="49"/>
      <c r="P471" s="49">
        <v>36120</v>
      </c>
      <c r="Q471" s="49"/>
      <c r="R471" s="49">
        <f>38000-36120</f>
        <v>1880</v>
      </c>
      <c r="S471" s="49">
        <v>-1880</v>
      </c>
      <c r="T471" s="49"/>
      <c r="U471" s="49"/>
      <c r="V471" s="49"/>
      <c r="W471" s="49">
        <v>36120</v>
      </c>
      <c r="X471" s="40">
        <f t="shared" si="43"/>
        <v>0</v>
      </c>
    </row>
    <row r="472" spans="2:24" ht="31.5">
      <c r="B472" s="302"/>
      <c r="C472" s="302"/>
      <c r="D472" s="305"/>
      <c r="E472" s="96" t="s">
        <v>89</v>
      </c>
      <c r="F472" s="76"/>
      <c r="G472" s="18"/>
      <c r="H472" s="224"/>
      <c r="I472" s="255">
        <v>3110</v>
      </c>
      <c r="J472" s="49">
        <v>47400</v>
      </c>
      <c r="K472" s="49"/>
      <c r="L472" s="49"/>
      <c r="M472" s="49"/>
      <c r="N472" s="49"/>
      <c r="O472" s="49"/>
      <c r="P472" s="49"/>
      <c r="Q472" s="49"/>
      <c r="R472" s="49">
        <v>47400</v>
      </c>
      <c r="S472" s="49"/>
      <c r="T472" s="49"/>
      <c r="U472" s="49"/>
      <c r="V472" s="49"/>
      <c r="W472" s="49">
        <f>26850+20550</f>
        <v>47400</v>
      </c>
      <c r="X472" s="40">
        <f t="shared" si="43"/>
        <v>0</v>
      </c>
    </row>
    <row r="473" spans="2:24" ht="15.75">
      <c r="B473" s="301" t="s">
        <v>883</v>
      </c>
      <c r="C473" s="301" t="s">
        <v>235</v>
      </c>
      <c r="D473" s="304" t="s">
        <v>338</v>
      </c>
      <c r="E473" s="94"/>
      <c r="F473" s="76"/>
      <c r="G473" s="99"/>
      <c r="H473" s="224"/>
      <c r="I473" s="255"/>
      <c r="J473" s="211">
        <f>J474+J478+J481+J482+J486+J491+J492+J501+J504+J483+J499+J502+J498+J500+J484+J485+J503</f>
        <v>7112395.549999999</v>
      </c>
      <c r="K473" s="211">
        <f aca="true" t="shared" si="49" ref="K473:W473">K474+K478+K481+K482+K486+K491+K492+K501+K504+K483+K499+K502+K498+K500+K484+K485+K503</f>
        <v>0</v>
      </c>
      <c r="L473" s="211">
        <f t="shared" si="49"/>
        <v>703098.3200000001</v>
      </c>
      <c r="M473" s="211">
        <f t="shared" si="49"/>
        <v>3939</v>
      </c>
      <c r="N473" s="211">
        <f t="shared" si="49"/>
        <v>0</v>
      </c>
      <c r="O473" s="211">
        <f t="shared" si="49"/>
        <v>326622</v>
      </c>
      <c r="P473" s="211">
        <f t="shared" si="49"/>
        <v>200000</v>
      </c>
      <c r="Q473" s="211">
        <f t="shared" si="49"/>
        <v>350000</v>
      </c>
      <c r="R473" s="211">
        <f t="shared" si="49"/>
        <v>1449883.84</v>
      </c>
      <c r="S473" s="211">
        <f t="shared" si="49"/>
        <v>3330805.99</v>
      </c>
      <c r="T473" s="211">
        <f t="shared" si="49"/>
        <v>748046.4</v>
      </c>
      <c r="U473" s="211">
        <f t="shared" si="49"/>
        <v>0</v>
      </c>
      <c r="V473" s="211">
        <f t="shared" si="49"/>
        <v>0</v>
      </c>
      <c r="W473" s="211">
        <f t="shared" si="49"/>
        <v>2331285.2</v>
      </c>
      <c r="X473" s="184">
        <f t="shared" si="43"/>
        <v>4781110.350000001</v>
      </c>
    </row>
    <row r="474" spans="2:24" ht="47.25">
      <c r="B474" s="295"/>
      <c r="C474" s="295"/>
      <c r="D474" s="292"/>
      <c r="E474" s="10" t="s">
        <v>388</v>
      </c>
      <c r="F474" s="76"/>
      <c r="G474" s="99"/>
      <c r="H474" s="224"/>
      <c r="I474" s="255"/>
      <c r="J474" s="21">
        <f>SUM(J475:J477)</f>
        <v>55501.5</v>
      </c>
      <c r="K474" s="49"/>
      <c r="L474" s="21">
        <f>SUM(L475:L477)</f>
        <v>55501.5</v>
      </c>
      <c r="M474" s="49"/>
      <c r="N474" s="49"/>
      <c r="O474" s="49"/>
      <c r="P474" s="49"/>
      <c r="Q474" s="49"/>
      <c r="R474" s="49"/>
      <c r="S474" s="49"/>
      <c r="T474" s="49"/>
      <c r="U474" s="49"/>
      <c r="V474" s="49"/>
      <c r="W474" s="21">
        <f>SUM(W475:W477)</f>
        <v>55501.5</v>
      </c>
      <c r="X474" s="40">
        <f t="shared" si="43"/>
        <v>0</v>
      </c>
    </row>
    <row r="475" spans="2:24" ht="47.25">
      <c r="B475" s="295"/>
      <c r="C475" s="295"/>
      <c r="D475" s="292"/>
      <c r="E475" s="11" t="s">
        <v>389</v>
      </c>
      <c r="F475" s="76"/>
      <c r="G475" s="99"/>
      <c r="H475" s="224"/>
      <c r="I475" s="255">
        <v>3110</v>
      </c>
      <c r="J475" s="9">
        <v>16500</v>
      </c>
      <c r="K475" s="49"/>
      <c r="L475" s="9">
        <v>16500</v>
      </c>
      <c r="M475" s="49"/>
      <c r="N475" s="49"/>
      <c r="O475" s="49"/>
      <c r="P475" s="49"/>
      <c r="Q475" s="49"/>
      <c r="R475" s="49"/>
      <c r="S475" s="49"/>
      <c r="T475" s="49"/>
      <c r="U475" s="49"/>
      <c r="V475" s="49"/>
      <c r="W475" s="9">
        <v>16500</v>
      </c>
      <c r="X475" s="40">
        <f t="shared" si="43"/>
        <v>0</v>
      </c>
    </row>
    <row r="476" spans="2:24" ht="47.25">
      <c r="B476" s="295"/>
      <c r="C476" s="295"/>
      <c r="D476" s="292"/>
      <c r="E476" s="11" t="s">
        <v>448</v>
      </c>
      <c r="F476" s="76"/>
      <c r="G476" s="99"/>
      <c r="H476" s="224"/>
      <c r="I476" s="255">
        <v>3110</v>
      </c>
      <c r="J476" s="9">
        <v>19500.75</v>
      </c>
      <c r="K476" s="49"/>
      <c r="L476" s="9">
        <v>19500.75</v>
      </c>
      <c r="M476" s="49"/>
      <c r="N476" s="49"/>
      <c r="O476" s="49"/>
      <c r="P476" s="49"/>
      <c r="Q476" s="49"/>
      <c r="R476" s="49"/>
      <c r="S476" s="49"/>
      <c r="T476" s="49"/>
      <c r="U476" s="49"/>
      <c r="V476" s="49"/>
      <c r="W476" s="9">
        <v>19500.75</v>
      </c>
      <c r="X476" s="40">
        <f t="shared" si="43"/>
        <v>0</v>
      </c>
    </row>
    <row r="477" spans="2:24" ht="47.25">
      <c r="B477" s="295"/>
      <c r="C477" s="295"/>
      <c r="D477" s="292"/>
      <c r="E477" s="11" t="s">
        <v>731</v>
      </c>
      <c r="F477" s="76"/>
      <c r="G477" s="99"/>
      <c r="H477" s="224"/>
      <c r="I477" s="255">
        <v>3110</v>
      </c>
      <c r="J477" s="9">
        <v>19500.75</v>
      </c>
      <c r="K477" s="49"/>
      <c r="L477" s="9">
        <v>19500.75</v>
      </c>
      <c r="M477" s="49"/>
      <c r="N477" s="49"/>
      <c r="O477" s="49"/>
      <c r="P477" s="49"/>
      <c r="Q477" s="49"/>
      <c r="R477" s="49"/>
      <c r="S477" s="49"/>
      <c r="T477" s="49"/>
      <c r="U477" s="49"/>
      <c r="V477" s="49"/>
      <c r="W477" s="9">
        <v>19500.75</v>
      </c>
      <c r="X477" s="40">
        <f t="shared" si="43"/>
        <v>0</v>
      </c>
    </row>
    <row r="478" spans="2:24" ht="31.5">
      <c r="B478" s="295"/>
      <c r="C478" s="295"/>
      <c r="D478" s="292"/>
      <c r="E478" s="10" t="s">
        <v>732</v>
      </c>
      <c r="F478" s="76"/>
      <c r="G478" s="99"/>
      <c r="H478" s="224"/>
      <c r="I478" s="255"/>
      <c r="J478" s="21">
        <f>SUM(J479:J480)</f>
        <v>16998.02</v>
      </c>
      <c r="K478" s="49"/>
      <c r="L478" s="21">
        <f>SUM(L479:L480)</f>
        <v>16998.02</v>
      </c>
      <c r="M478" s="49"/>
      <c r="N478" s="49"/>
      <c r="O478" s="49"/>
      <c r="P478" s="49"/>
      <c r="Q478" s="49"/>
      <c r="R478" s="49"/>
      <c r="S478" s="49"/>
      <c r="T478" s="49"/>
      <c r="U478" s="49"/>
      <c r="V478" s="49"/>
      <c r="W478" s="21">
        <f>SUM(W479:W480)</f>
        <v>16998.02</v>
      </c>
      <c r="X478" s="40">
        <f t="shared" si="43"/>
        <v>0</v>
      </c>
    </row>
    <row r="479" spans="2:24" ht="47.25">
      <c r="B479" s="295"/>
      <c r="C479" s="295"/>
      <c r="D479" s="292"/>
      <c r="E479" s="11" t="s">
        <v>448</v>
      </c>
      <c r="F479" s="76"/>
      <c r="G479" s="99"/>
      <c r="H479" s="224"/>
      <c r="I479" s="255">
        <v>3110</v>
      </c>
      <c r="J479" s="9">
        <v>8499.01</v>
      </c>
      <c r="K479" s="49"/>
      <c r="L479" s="9">
        <v>8499.01</v>
      </c>
      <c r="M479" s="49"/>
      <c r="N479" s="49"/>
      <c r="O479" s="49"/>
      <c r="P479" s="49"/>
      <c r="Q479" s="49"/>
      <c r="R479" s="49"/>
      <c r="S479" s="49"/>
      <c r="T479" s="49"/>
      <c r="U479" s="49"/>
      <c r="V479" s="49"/>
      <c r="W479" s="9">
        <v>8499.01</v>
      </c>
      <c r="X479" s="40">
        <f t="shared" si="43"/>
        <v>0</v>
      </c>
    </row>
    <row r="480" spans="2:24" ht="47.25">
      <c r="B480" s="295"/>
      <c r="C480" s="295"/>
      <c r="D480" s="292"/>
      <c r="E480" s="11" t="s">
        <v>731</v>
      </c>
      <c r="F480" s="76"/>
      <c r="G480" s="99"/>
      <c r="H480" s="224"/>
      <c r="I480" s="255">
        <v>3110</v>
      </c>
      <c r="J480" s="9">
        <v>8499.01</v>
      </c>
      <c r="K480" s="49"/>
      <c r="L480" s="9">
        <v>8499.01</v>
      </c>
      <c r="M480" s="49"/>
      <c r="N480" s="49"/>
      <c r="O480" s="49"/>
      <c r="P480" s="49"/>
      <c r="Q480" s="49"/>
      <c r="R480" s="49"/>
      <c r="S480" s="49"/>
      <c r="T480" s="49"/>
      <c r="U480" s="49"/>
      <c r="V480" s="49"/>
      <c r="W480" s="9">
        <v>8499.01</v>
      </c>
      <c r="X480" s="40">
        <f t="shared" si="43"/>
        <v>0</v>
      </c>
    </row>
    <row r="481" spans="2:24" ht="110.25">
      <c r="B481" s="295"/>
      <c r="C481" s="295"/>
      <c r="D481" s="292"/>
      <c r="E481" s="10" t="s">
        <v>169</v>
      </c>
      <c r="F481" s="76"/>
      <c r="G481" s="99"/>
      <c r="H481" s="224"/>
      <c r="I481" s="255">
        <v>3132</v>
      </c>
      <c r="J481" s="9">
        <v>576598.8</v>
      </c>
      <c r="K481" s="49"/>
      <c r="L481" s="9">
        <v>576598.8</v>
      </c>
      <c r="M481" s="49"/>
      <c r="N481" s="49"/>
      <c r="O481" s="49"/>
      <c r="P481" s="49"/>
      <c r="Q481" s="49"/>
      <c r="R481" s="49"/>
      <c r="S481" s="49"/>
      <c r="T481" s="49"/>
      <c r="U481" s="49"/>
      <c r="V481" s="49"/>
      <c r="W481" s="9">
        <v>576598.8</v>
      </c>
      <c r="X481" s="40">
        <f t="shared" si="43"/>
        <v>0</v>
      </c>
    </row>
    <row r="482" spans="2:24" ht="63">
      <c r="B482" s="295"/>
      <c r="C482" s="295"/>
      <c r="D482" s="292"/>
      <c r="E482" s="24" t="s">
        <v>170</v>
      </c>
      <c r="F482" s="49"/>
      <c r="G482" s="50"/>
      <c r="H482" s="220"/>
      <c r="I482" s="255">
        <v>3110</v>
      </c>
      <c r="J482" s="9">
        <v>54000</v>
      </c>
      <c r="K482" s="49"/>
      <c r="L482" s="9">
        <v>54000</v>
      </c>
      <c r="M482" s="49"/>
      <c r="N482" s="49"/>
      <c r="O482" s="49"/>
      <c r="P482" s="49"/>
      <c r="Q482" s="49"/>
      <c r="R482" s="49"/>
      <c r="S482" s="49"/>
      <c r="T482" s="49"/>
      <c r="U482" s="49"/>
      <c r="V482" s="49"/>
      <c r="W482" s="9">
        <v>54000</v>
      </c>
      <c r="X482" s="40">
        <f t="shared" si="43"/>
        <v>0</v>
      </c>
    </row>
    <row r="483" spans="2:24" ht="94.5">
      <c r="B483" s="295"/>
      <c r="C483" s="295"/>
      <c r="D483" s="292"/>
      <c r="E483" s="24" t="s">
        <v>250</v>
      </c>
      <c r="F483" s="49"/>
      <c r="G483" s="50"/>
      <c r="H483" s="220"/>
      <c r="I483" s="255">
        <v>3110</v>
      </c>
      <c r="J483" s="9">
        <v>3939</v>
      </c>
      <c r="K483" s="49"/>
      <c r="L483" s="9"/>
      <c r="M483" s="49">
        <v>3939</v>
      </c>
      <c r="N483" s="49"/>
      <c r="O483" s="49"/>
      <c r="P483" s="49"/>
      <c r="Q483" s="49"/>
      <c r="R483" s="49"/>
      <c r="S483" s="49"/>
      <c r="T483" s="49"/>
      <c r="U483" s="49"/>
      <c r="V483" s="49"/>
      <c r="W483" s="9">
        <v>3939</v>
      </c>
      <c r="X483" s="40">
        <f aca="true" t="shared" si="50" ref="X483:X546">K483+L483+M483+N483+O483+P483+Q483+R483+S483+T483-W483</f>
        <v>0</v>
      </c>
    </row>
    <row r="484" spans="2:24" ht="78.75">
      <c r="B484" s="295"/>
      <c r="C484" s="295"/>
      <c r="D484" s="292"/>
      <c r="E484" s="24" t="s">
        <v>393</v>
      </c>
      <c r="F484" s="49"/>
      <c r="G484" s="50"/>
      <c r="H484" s="220"/>
      <c r="I484" s="255">
        <v>3110</v>
      </c>
      <c r="J484" s="9">
        <v>290000</v>
      </c>
      <c r="K484" s="49"/>
      <c r="L484" s="9"/>
      <c r="M484" s="49"/>
      <c r="N484" s="49"/>
      <c r="O484" s="49"/>
      <c r="P484" s="49"/>
      <c r="Q484" s="49"/>
      <c r="R484" s="49"/>
      <c r="S484" s="49">
        <v>290000</v>
      </c>
      <c r="T484" s="49"/>
      <c r="U484" s="49"/>
      <c r="V484" s="49"/>
      <c r="W484" s="9"/>
      <c r="X484" s="40">
        <f t="shared" si="50"/>
        <v>290000</v>
      </c>
    </row>
    <row r="485" spans="2:24" ht="47.25">
      <c r="B485" s="295"/>
      <c r="C485" s="295"/>
      <c r="D485" s="292"/>
      <c r="E485" s="24" t="s">
        <v>394</v>
      </c>
      <c r="F485" s="49"/>
      <c r="G485" s="50"/>
      <c r="H485" s="220"/>
      <c r="I485" s="255">
        <v>3132</v>
      </c>
      <c r="J485" s="9">
        <v>595764</v>
      </c>
      <c r="K485" s="49"/>
      <c r="L485" s="9"/>
      <c r="M485" s="49"/>
      <c r="N485" s="49"/>
      <c r="O485" s="49"/>
      <c r="P485" s="49"/>
      <c r="Q485" s="49"/>
      <c r="R485" s="49"/>
      <c r="S485" s="49">
        <v>595764</v>
      </c>
      <c r="T485" s="49"/>
      <c r="U485" s="49"/>
      <c r="V485" s="49"/>
      <c r="W485" s="9">
        <f>173696.76+5400</f>
        <v>179096.76</v>
      </c>
      <c r="X485" s="40">
        <f t="shared" si="50"/>
        <v>416667.24</v>
      </c>
    </row>
    <row r="486" spans="2:24" ht="47.25">
      <c r="B486" s="295"/>
      <c r="C486" s="295"/>
      <c r="D486" s="292"/>
      <c r="E486" s="88" t="s">
        <v>421</v>
      </c>
      <c r="F486" s="40"/>
      <c r="G486" s="40"/>
      <c r="H486" s="225"/>
      <c r="I486" s="255"/>
      <c r="J486" s="49">
        <f>SUM(J487:J490)</f>
        <v>1133445</v>
      </c>
      <c r="K486" s="49">
        <f aca="true" t="shared" si="51" ref="K486:W486">SUM(K487:K490)</f>
        <v>0</v>
      </c>
      <c r="L486" s="49">
        <f t="shared" si="51"/>
        <v>0</v>
      </c>
      <c r="M486" s="49">
        <f t="shared" si="51"/>
        <v>0</v>
      </c>
      <c r="N486" s="49">
        <f t="shared" si="51"/>
        <v>0</v>
      </c>
      <c r="O486" s="49">
        <f t="shared" si="51"/>
        <v>59375</v>
      </c>
      <c r="P486" s="49">
        <f t="shared" si="51"/>
        <v>0</v>
      </c>
      <c r="Q486" s="49">
        <f t="shared" si="51"/>
        <v>0</v>
      </c>
      <c r="R486" s="49">
        <f t="shared" si="51"/>
        <v>613070</v>
      </c>
      <c r="S486" s="49">
        <f t="shared" si="51"/>
        <v>461000</v>
      </c>
      <c r="T486" s="49">
        <f t="shared" si="51"/>
        <v>0</v>
      </c>
      <c r="U486" s="49">
        <f t="shared" si="51"/>
        <v>0</v>
      </c>
      <c r="V486" s="49">
        <f t="shared" si="51"/>
        <v>0</v>
      </c>
      <c r="W486" s="49">
        <f t="shared" si="51"/>
        <v>609019</v>
      </c>
      <c r="X486" s="40">
        <f t="shared" si="50"/>
        <v>524426</v>
      </c>
    </row>
    <row r="487" spans="2:24" ht="15.75">
      <c r="B487" s="295"/>
      <c r="C487" s="295"/>
      <c r="D487" s="292"/>
      <c r="E487" s="89" t="s">
        <v>582</v>
      </c>
      <c r="F487" s="49"/>
      <c r="G487" s="18"/>
      <c r="H487" s="220"/>
      <c r="I487" s="255">
        <v>3110</v>
      </c>
      <c r="J487" s="49">
        <f>47500+11875+461000</f>
        <v>520375</v>
      </c>
      <c r="K487" s="49"/>
      <c r="L487" s="49"/>
      <c r="M487" s="49"/>
      <c r="N487" s="49"/>
      <c r="O487" s="49">
        <v>59375</v>
      </c>
      <c r="P487" s="49"/>
      <c r="Q487" s="49"/>
      <c r="R487" s="49"/>
      <c r="S487" s="49">
        <v>461000</v>
      </c>
      <c r="T487" s="49"/>
      <c r="U487" s="49"/>
      <c r="V487" s="49"/>
      <c r="W487" s="49">
        <f>59375-876</f>
        <v>58499</v>
      </c>
      <c r="X487" s="40">
        <f t="shared" si="50"/>
        <v>461876</v>
      </c>
    </row>
    <row r="488" spans="2:24" ht="15.75">
      <c r="B488" s="295"/>
      <c r="C488" s="295"/>
      <c r="D488" s="292"/>
      <c r="E488" s="89" t="s">
        <v>583</v>
      </c>
      <c r="F488" s="49"/>
      <c r="G488" s="18"/>
      <c r="H488" s="220"/>
      <c r="I488" s="255">
        <v>3110</v>
      </c>
      <c r="J488" s="49">
        <f>28600+20100</f>
        <v>48700</v>
      </c>
      <c r="K488" s="49"/>
      <c r="L488" s="49"/>
      <c r="M488" s="49"/>
      <c r="N488" s="49"/>
      <c r="O488" s="49"/>
      <c r="P488" s="49"/>
      <c r="Q488" s="49"/>
      <c r="R488" s="49">
        <v>48700</v>
      </c>
      <c r="S488" s="49"/>
      <c r="T488" s="49"/>
      <c r="U488" s="49"/>
      <c r="V488" s="49"/>
      <c r="W488" s="49"/>
      <c r="X488" s="40">
        <f t="shared" si="50"/>
        <v>48700</v>
      </c>
    </row>
    <row r="489" spans="2:24" ht="15.75">
      <c r="B489" s="295"/>
      <c r="C489" s="295"/>
      <c r="D489" s="292"/>
      <c r="E489" s="89" t="s">
        <v>584</v>
      </c>
      <c r="F489" s="49"/>
      <c r="G489" s="18"/>
      <c r="H489" s="220"/>
      <c r="I489" s="255">
        <v>3110</v>
      </c>
      <c r="J489" s="49">
        <f>341110+70575</f>
        <v>411685</v>
      </c>
      <c r="K489" s="49"/>
      <c r="L489" s="49"/>
      <c r="M489" s="49"/>
      <c r="N489" s="49"/>
      <c r="O489" s="49"/>
      <c r="P489" s="49"/>
      <c r="Q489" s="49"/>
      <c r="R489" s="49">
        <v>411685</v>
      </c>
      <c r="S489" s="49"/>
      <c r="T489" s="49"/>
      <c r="U489" s="49"/>
      <c r="V489" s="49"/>
      <c r="W489" s="49">
        <v>401120</v>
      </c>
      <c r="X489" s="40">
        <f t="shared" si="50"/>
        <v>10565</v>
      </c>
    </row>
    <row r="490" spans="2:24" ht="15.75">
      <c r="B490" s="295"/>
      <c r="C490" s="295"/>
      <c r="D490" s="292"/>
      <c r="E490" s="89" t="s">
        <v>557</v>
      </c>
      <c r="F490" s="49"/>
      <c r="G490" s="18"/>
      <c r="H490" s="220"/>
      <c r="I490" s="255">
        <v>3110</v>
      </c>
      <c r="J490" s="49">
        <f>122148+30537</f>
        <v>152685</v>
      </c>
      <c r="K490" s="49"/>
      <c r="L490" s="49"/>
      <c r="M490" s="49"/>
      <c r="N490" s="49"/>
      <c r="O490" s="49"/>
      <c r="P490" s="49"/>
      <c r="Q490" s="49"/>
      <c r="R490" s="49">
        <v>152685</v>
      </c>
      <c r="S490" s="49"/>
      <c r="T490" s="49"/>
      <c r="U490" s="49"/>
      <c r="V490" s="49"/>
      <c r="W490" s="49">
        <f>149400</f>
        <v>149400</v>
      </c>
      <c r="X490" s="40">
        <f t="shared" si="50"/>
        <v>3285</v>
      </c>
    </row>
    <row r="491" spans="2:24" ht="63">
      <c r="B491" s="295"/>
      <c r="C491" s="295"/>
      <c r="D491" s="292"/>
      <c r="E491" s="88" t="s">
        <v>20</v>
      </c>
      <c r="F491" s="40"/>
      <c r="G491" s="40"/>
      <c r="H491" s="225"/>
      <c r="I491" s="255">
        <v>3110</v>
      </c>
      <c r="J491" s="49">
        <v>274921.99</v>
      </c>
      <c r="K491" s="49"/>
      <c r="L491" s="49"/>
      <c r="M491" s="49"/>
      <c r="N491" s="49"/>
      <c r="O491" s="49"/>
      <c r="P491" s="49"/>
      <c r="Q491" s="49"/>
      <c r="R491" s="49"/>
      <c r="S491" s="49">
        <v>274921.99</v>
      </c>
      <c r="T491" s="49"/>
      <c r="U491" s="49"/>
      <c r="V491" s="49"/>
      <c r="W491" s="49"/>
      <c r="X491" s="40">
        <f t="shared" si="50"/>
        <v>274921.99</v>
      </c>
    </row>
    <row r="492" spans="2:24" ht="15.75">
      <c r="B492" s="295"/>
      <c r="C492" s="295"/>
      <c r="D492" s="292"/>
      <c r="E492" s="88" t="s">
        <v>21</v>
      </c>
      <c r="F492" s="40"/>
      <c r="G492" s="40"/>
      <c r="H492" s="225"/>
      <c r="I492" s="255"/>
      <c r="J492" s="49">
        <f>SUM(J493:J497)</f>
        <v>115361</v>
      </c>
      <c r="K492" s="49">
        <f aca="true" t="shared" si="52" ref="K492:W492">SUM(K493:K497)</f>
        <v>0</v>
      </c>
      <c r="L492" s="49">
        <f t="shared" si="52"/>
        <v>0</v>
      </c>
      <c r="M492" s="49">
        <f t="shared" si="52"/>
        <v>0</v>
      </c>
      <c r="N492" s="49">
        <f t="shared" si="52"/>
        <v>0</v>
      </c>
      <c r="O492" s="49">
        <f t="shared" si="52"/>
        <v>0</v>
      </c>
      <c r="P492" s="49">
        <f t="shared" si="52"/>
        <v>0</v>
      </c>
      <c r="Q492" s="49">
        <f t="shared" si="52"/>
        <v>0</v>
      </c>
      <c r="R492" s="49">
        <f t="shared" si="52"/>
        <v>115361</v>
      </c>
      <c r="S492" s="49">
        <f t="shared" si="52"/>
        <v>0</v>
      </c>
      <c r="T492" s="49">
        <f t="shared" si="52"/>
        <v>0</v>
      </c>
      <c r="U492" s="49">
        <f t="shared" si="52"/>
        <v>0</v>
      </c>
      <c r="V492" s="49">
        <f t="shared" si="52"/>
        <v>0</v>
      </c>
      <c r="W492" s="49">
        <f t="shared" si="52"/>
        <v>69146</v>
      </c>
      <c r="X492" s="40">
        <f t="shared" si="50"/>
        <v>46215</v>
      </c>
    </row>
    <row r="493" spans="2:24" ht="31.5">
      <c r="B493" s="295"/>
      <c r="C493" s="295"/>
      <c r="D493" s="292"/>
      <c r="E493" s="97" t="s">
        <v>281</v>
      </c>
      <c r="F493" s="40"/>
      <c r="G493" s="40"/>
      <c r="H493" s="225"/>
      <c r="I493" s="255">
        <v>3110</v>
      </c>
      <c r="J493" s="49">
        <v>11310</v>
      </c>
      <c r="K493" s="49"/>
      <c r="L493" s="49"/>
      <c r="M493" s="49"/>
      <c r="N493" s="49"/>
      <c r="O493" s="49"/>
      <c r="P493" s="49"/>
      <c r="Q493" s="49"/>
      <c r="R493" s="49">
        <v>11310</v>
      </c>
      <c r="S493" s="49"/>
      <c r="T493" s="49"/>
      <c r="U493" s="49"/>
      <c r="V493" s="49"/>
      <c r="W493" s="49">
        <v>11245</v>
      </c>
      <c r="X493" s="40">
        <f t="shared" si="50"/>
        <v>65</v>
      </c>
    </row>
    <row r="494" spans="2:24" ht="31.5">
      <c r="B494" s="295"/>
      <c r="C494" s="295"/>
      <c r="D494" s="292"/>
      <c r="E494" s="97" t="s">
        <v>282</v>
      </c>
      <c r="F494" s="40"/>
      <c r="G494" s="40"/>
      <c r="H494" s="225"/>
      <c r="I494" s="255">
        <v>3110</v>
      </c>
      <c r="J494" s="49">
        <v>18096</v>
      </c>
      <c r="K494" s="49"/>
      <c r="L494" s="49"/>
      <c r="M494" s="49"/>
      <c r="N494" s="49"/>
      <c r="O494" s="49"/>
      <c r="P494" s="49"/>
      <c r="Q494" s="49"/>
      <c r="R494" s="49">
        <v>18096</v>
      </c>
      <c r="S494" s="49"/>
      <c r="T494" s="49"/>
      <c r="U494" s="49"/>
      <c r="V494" s="49"/>
      <c r="W494" s="49">
        <v>18096</v>
      </c>
      <c r="X494" s="40">
        <f t="shared" si="50"/>
        <v>0</v>
      </c>
    </row>
    <row r="495" spans="2:24" ht="31.5">
      <c r="B495" s="295"/>
      <c r="C495" s="295"/>
      <c r="D495" s="292"/>
      <c r="E495" s="97" t="s">
        <v>283</v>
      </c>
      <c r="F495" s="40"/>
      <c r="G495" s="40"/>
      <c r="H495" s="225"/>
      <c r="I495" s="255">
        <v>3110</v>
      </c>
      <c r="J495" s="49">
        <v>50895</v>
      </c>
      <c r="K495" s="49"/>
      <c r="L495" s="49"/>
      <c r="M495" s="49"/>
      <c r="N495" s="49"/>
      <c r="O495" s="49"/>
      <c r="P495" s="49"/>
      <c r="Q495" s="49"/>
      <c r="R495" s="49">
        <v>50895</v>
      </c>
      <c r="S495" s="49"/>
      <c r="T495" s="49"/>
      <c r="U495" s="49"/>
      <c r="V495" s="49"/>
      <c r="W495" s="49">
        <v>11245</v>
      </c>
      <c r="X495" s="40">
        <f t="shared" si="50"/>
        <v>39650</v>
      </c>
    </row>
    <row r="496" spans="2:24" ht="31.5" hidden="1">
      <c r="B496" s="295"/>
      <c r="C496" s="295"/>
      <c r="D496" s="292"/>
      <c r="E496" s="97" t="s">
        <v>284</v>
      </c>
      <c r="F496" s="40"/>
      <c r="G496" s="40"/>
      <c r="H496" s="225"/>
      <c r="I496" s="255">
        <v>3110</v>
      </c>
      <c r="J496" s="49">
        <f>22620-22620</f>
        <v>0</v>
      </c>
      <c r="K496" s="49"/>
      <c r="L496" s="49"/>
      <c r="M496" s="49"/>
      <c r="N496" s="49"/>
      <c r="O496" s="49"/>
      <c r="P496" s="49"/>
      <c r="Q496" s="49"/>
      <c r="R496" s="49">
        <f>22620-22620</f>
        <v>0</v>
      </c>
      <c r="S496" s="49"/>
      <c r="T496" s="49"/>
      <c r="U496" s="49"/>
      <c r="V496" s="49"/>
      <c r="W496" s="49"/>
      <c r="X496" s="40">
        <f t="shared" si="50"/>
        <v>0</v>
      </c>
    </row>
    <row r="497" spans="2:24" ht="31.5">
      <c r="B497" s="295"/>
      <c r="C497" s="295"/>
      <c r="D497" s="292"/>
      <c r="E497" s="97" t="s">
        <v>285</v>
      </c>
      <c r="F497" s="40"/>
      <c r="G497" s="40"/>
      <c r="H497" s="225"/>
      <c r="I497" s="255">
        <v>3110</v>
      </c>
      <c r="J497" s="49">
        <v>35060</v>
      </c>
      <c r="K497" s="49"/>
      <c r="L497" s="49"/>
      <c r="M497" s="49"/>
      <c r="N497" s="49"/>
      <c r="O497" s="49"/>
      <c r="P497" s="49"/>
      <c r="Q497" s="49"/>
      <c r="R497" s="49">
        <v>35060</v>
      </c>
      <c r="S497" s="49"/>
      <c r="T497" s="49"/>
      <c r="U497" s="49"/>
      <c r="V497" s="49"/>
      <c r="W497" s="49">
        <v>28560</v>
      </c>
      <c r="X497" s="40">
        <f t="shared" si="50"/>
        <v>6500</v>
      </c>
    </row>
    <row r="498" spans="2:24" ht="39.75" customHeight="1">
      <c r="B498" s="295"/>
      <c r="C498" s="295"/>
      <c r="D498" s="292"/>
      <c r="E498" s="98" t="s">
        <v>552</v>
      </c>
      <c r="F498" s="40"/>
      <c r="G498" s="40"/>
      <c r="H498" s="225"/>
      <c r="I498" s="255">
        <v>3110</v>
      </c>
      <c r="J498" s="49">
        <f>22620</f>
        <v>22620</v>
      </c>
      <c r="K498" s="49"/>
      <c r="L498" s="49"/>
      <c r="M498" s="49"/>
      <c r="N498" s="49"/>
      <c r="O498" s="49"/>
      <c r="P498" s="49"/>
      <c r="Q498" s="49"/>
      <c r="R498" s="49">
        <f>22620</f>
        <v>22620</v>
      </c>
      <c r="S498" s="49"/>
      <c r="T498" s="49"/>
      <c r="U498" s="49"/>
      <c r="V498" s="49"/>
      <c r="W498" s="49">
        <v>18712</v>
      </c>
      <c r="X498" s="40">
        <f t="shared" si="50"/>
        <v>3908</v>
      </c>
    </row>
    <row r="499" spans="2:24" ht="78.75">
      <c r="B499" s="295"/>
      <c r="C499" s="295"/>
      <c r="D499" s="292"/>
      <c r="E499" s="98" t="s">
        <v>286</v>
      </c>
      <c r="F499" s="9">
        <v>3910112.07</v>
      </c>
      <c r="G499" s="18">
        <f>100%-((F499-H499)/F499)</f>
        <v>0.5621440922024518</v>
      </c>
      <c r="H499" s="220">
        <v>2198046.3999999994</v>
      </c>
      <c r="I499" s="255">
        <v>3132</v>
      </c>
      <c r="J499" s="49">
        <v>2198046.4</v>
      </c>
      <c r="K499" s="49"/>
      <c r="L499" s="49"/>
      <c r="M499" s="49"/>
      <c r="N499" s="49"/>
      <c r="O499" s="49"/>
      <c r="P499" s="49"/>
      <c r="Q499" s="49">
        <v>50000</v>
      </c>
      <c r="R499" s="49">
        <v>700000</v>
      </c>
      <c r="S499" s="49">
        <v>700000</v>
      </c>
      <c r="T499" s="49">
        <v>748046.4</v>
      </c>
      <c r="U499" s="49"/>
      <c r="V499" s="49"/>
      <c r="W499" s="49">
        <f>129559.67</f>
        <v>129559.67</v>
      </c>
      <c r="X499" s="40">
        <f t="shared" si="50"/>
        <v>2068486.73</v>
      </c>
    </row>
    <row r="500" spans="2:24" ht="36.75" customHeight="1">
      <c r="B500" s="295"/>
      <c r="C500" s="295"/>
      <c r="D500" s="292"/>
      <c r="E500" s="330" t="s">
        <v>436</v>
      </c>
      <c r="F500" s="9"/>
      <c r="G500" s="18"/>
      <c r="H500" s="220"/>
      <c r="I500" s="255">
        <v>3132</v>
      </c>
      <c r="J500" s="49">
        <v>143955.6</v>
      </c>
      <c r="K500" s="49"/>
      <c r="L500" s="49"/>
      <c r="M500" s="49"/>
      <c r="N500" s="49"/>
      <c r="O500" s="49"/>
      <c r="P500" s="49"/>
      <c r="Q500" s="49"/>
      <c r="R500" s="49">
        <v>143955.6</v>
      </c>
      <c r="S500" s="49"/>
      <c r="T500" s="49"/>
      <c r="U500" s="49"/>
      <c r="V500" s="49"/>
      <c r="W500" s="49">
        <f>143955.6-143955.6</f>
        <v>0</v>
      </c>
      <c r="X500" s="40">
        <f t="shared" si="50"/>
        <v>143955.6</v>
      </c>
    </row>
    <row r="501" spans="2:24" ht="31.5" customHeight="1">
      <c r="B501" s="295"/>
      <c r="C501" s="295"/>
      <c r="D501" s="292"/>
      <c r="E501" s="331"/>
      <c r="F501" s="9">
        <v>1160942.96</v>
      </c>
      <c r="G501" s="18">
        <f>100%-((F501-H501)/F501)</f>
        <v>0.1308350239705145</v>
      </c>
      <c r="H501" s="220">
        <v>151892</v>
      </c>
      <c r="I501" s="255">
        <v>3210</v>
      </c>
      <c r="J501" s="49">
        <f>151892-143955.6</f>
        <v>7936.399999999994</v>
      </c>
      <c r="K501" s="49"/>
      <c r="L501" s="49"/>
      <c r="M501" s="49"/>
      <c r="N501" s="49"/>
      <c r="O501" s="49">
        <v>151892</v>
      </c>
      <c r="P501" s="49"/>
      <c r="Q501" s="49"/>
      <c r="R501" s="49">
        <f>-143955.6</f>
        <v>-143955.6</v>
      </c>
      <c r="S501" s="49"/>
      <c r="T501" s="49"/>
      <c r="U501" s="49"/>
      <c r="V501" s="49"/>
      <c r="W501" s="49">
        <v>7936.4</v>
      </c>
      <c r="X501" s="40">
        <f t="shared" si="50"/>
        <v>0</v>
      </c>
    </row>
    <row r="502" spans="2:24" ht="63">
      <c r="B502" s="295"/>
      <c r="C502" s="295"/>
      <c r="D502" s="292"/>
      <c r="E502" s="88" t="s">
        <v>279</v>
      </c>
      <c r="F502" s="9">
        <v>500000</v>
      </c>
      <c r="G502" s="18">
        <f>100%-((F502-H502)/F502)</f>
        <v>1</v>
      </c>
      <c r="H502" s="220">
        <v>500000</v>
      </c>
      <c r="I502" s="255">
        <v>3132</v>
      </c>
      <c r="J502" s="49">
        <v>500000</v>
      </c>
      <c r="K502" s="49"/>
      <c r="L502" s="49"/>
      <c r="M502" s="49"/>
      <c r="N502" s="49"/>
      <c r="O502" s="49"/>
      <c r="P502" s="49">
        <v>200000</v>
      </c>
      <c r="Q502" s="49">
        <v>300000</v>
      </c>
      <c r="R502" s="49"/>
      <c r="S502" s="49"/>
      <c r="T502" s="49"/>
      <c r="U502" s="49"/>
      <c r="V502" s="49"/>
      <c r="W502" s="49">
        <f>9067.21+143694+343829</f>
        <v>496590.20999999996</v>
      </c>
      <c r="X502" s="40">
        <f t="shared" si="50"/>
        <v>3409.7900000000373</v>
      </c>
    </row>
    <row r="503" spans="2:24" ht="47.25">
      <c r="B503" s="295"/>
      <c r="C503" s="295"/>
      <c r="D503" s="292"/>
      <c r="E503" s="88" t="s">
        <v>395</v>
      </c>
      <c r="F503" s="9"/>
      <c r="G503" s="18"/>
      <c r="H503" s="220"/>
      <c r="I503" s="255">
        <v>3132</v>
      </c>
      <c r="J503" s="49">
        <v>1009120</v>
      </c>
      <c r="K503" s="49"/>
      <c r="L503" s="49"/>
      <c r="M503" s="49"/>
      <c r="N503" s="49"/>
      <c r="O503" s="49"/>
      <c r="P503" s="49"/>
      <c r="Q503" s="49"/>
      <c r="R503" s="49"/>
      <c r="S503" s="49">
        <v>1009120</v>
      </c>
      <c r="T503" s="49"/>
      <c r="U503" s="49"/>
      <c r="V503" s="49"/>
      <c r="W503" s="49"/>
      <c r="X503" s="40">
        <f t="shared" si="50"/>
        <v>1009120</v>
      </c>
    </row>
    <row r="504" spans="2:24" ht="78.75">
      <c r="B504" s="302"/>
      <c r="C504" s="302"/>
      <c r="D504" s="305"/>
      <c r="E504" s="88" t="s">
        <v>280</v>
      </c>
      <c r="F504" s="49">
        <v>115355</v>
      </c>
      <c r="G504" s="18">
        <f>100%-((F504-H504)/F504)</f>
        <v>1</v>
      </c>
      <c r="H504" s="220">
        <v>115355</v>
      </c>
      <c r="I504" s="255">
        <v>3210</v>
      </c>
      <c r="J504" s="49">
        <f>115355-1167.16</f>
        <v>114187.84</v>
      </c>
      <c r="K504" s="49"/>
      <c r="L504" s="49"/>
      <c r="M504" s="49"/>
      <c r="N504" s="49"/>
      <c r="O504" s="49">
        <v>115355</v>
      </c>
      <c r="P504" s="49"/>
      <c r="Q504" s="49"/>
      <c r="R504" s="49">
        <v>-1167.16</v>
      </c>
      <c r="S504" s="49"/>
      <c r="T504" s="49"/>
      <c r="U504" s="49"/>
      <c r="V504" s="49"/>
      <c r="W504" s="49">
        <v>114187.84</v>
      </c>
      <c r="X504" s="40">
        <f t="shared" si="50"/>
        <v>0</v>
      </c>
    </row>
    <row r="505" spans="2:24" ht="15.75" customHeight="1">
      <c r="B505" s="294" t="s">
        <v>884</v>
      </c>
      <c r="C505" s="294" t="s">
        <v>237</v>
      </c>
      <c r="D505" s="291" t="s">
        <v>236</v>
      </c>
      <c r="E505" s="25"/>
      <c r="F505" s="76"/>
      <c r="G505" s="99"/>
      <c r="H505" s="224"/>
      <c r="I505" s="255"/>
      <c r="J505" s="210">
        <f>J506+J508</f>
        <v>54962</v>
      </c>
      <c r="K505" s="210">
        <f aca="true" t="shared" si="53" ref="K505:W505">K506+K508</f>
        <v>0</v>
      </c>
      <c r="L505" s="210">
        <f t="shared" si="53"/>
        <v>4962</v>
      </c>
      <c r="M505" s="210">
        <f t="shared" si="53"/>
        <v>0</v>
      </c>
      <c r="N505" s="210">
        <f t="shared" si="53"/>
        <v>0</v>
      </c>
      <c r="O505" s="210">
        <f t="shared" si="53"/>
        <v>0</v>
      </c>
      <c r="P505" s="210">
        <f t="shared" si="53"/>
        <v>0</v>
      </c>
      <c r="Q505" s="210">
        <f t="shared" si="53"/>
        <v>0</v>
      </c>
      <c r="R505" s="210">
        <f t="shared" si="53"/>
        <v>0</v>
      </c>
      <c r="S505" s="210">
        <f t="shared" si="53"/>
        <v>50000</v>
      </c>
      <c r="T505" s="210">
        <f t="shared" si="53"/>
        <v>0</v>
      </c>
      <c r="U505" s="210">
        <f t="shared" si="53"/>
        <v>0</v>
      </c>
      <c r="V505" s="210">
        <f t="shared" si="53"/>
        <v>0</v>
      </c>
      <c r="W505" s="210">
        <f t="shared" si="53"/>
        <v>4962</v>
      </c>
      <c r="X505" s="184">
        <f t="shared" si="50"/>
        <v>50000</v>
      </c>
    </row>
    <row r="506" spans="2:24" ht="63">
      <c r="B506" s="295"/>
      <c r="C506" s="295"/>
      <c r="D506" s="292"/>
      <c r="E506" s="10" t="s">
        <v>171</v>
      </c>
      <c r="F506" s="76"/>
      <c r="G506" s="99"/>
      <c r="H506" s="224"/>
      <c r="I506" s="255"/>
      <c r="J506" s="21">
        <f>J507</f>
        <v>4962</v>
      </c>
      <c r="K506" s="49"/>
      <c r="L506" s="21">
        <f>L507</f>
        <v>4962</v>
      </c>
      <c r="M506" s="49"/>
      <c r="N506" s="49"/>
      <c r="O506" s="49"/>
      <c r="P506" s="49"/>
      <c r="Q506" s="49"/>
      <c r="R506" s="49"/>
      <c r="S506" s="49"/>
      <c r="T506" s="49"/>
      <c r="U506" s="49"/>
      <c r="V506" s="49"/>
      <c r="W506" s="49">
        <f>W507</f>
        <v>4962</v>
      </c>
      <c r="X506" s="40">
        <f t="shared" si="50"/>
        <v>0</v>
      </c>
    </row>
    <row r="507" spans="2:24" ht="31.5">
      <c r="B507" s="295"/>
      <c r="C507" s="295"/>
      <c r="D507" s="292"/>
      <c r="E507" s="11" t="s">
        <v>115</v>
      </c>
      <c r="F507" s="76"/>
      <c r="G507" s="99"/>
      <c r="H507" s="224"/>
      <c r="I507" s="255">
        <v>3110</v>
      </c>
      <c r="J507" s="9">
        <v>4962</v>
      </c>
      <c r="K507" s="49"/>
      <c r="L507" s="9">
        <v>4962</v>
      </c>
      <c r="M507" s="49"/>
      <c r="N507" s="49"/>
      <c r="O507" s="49"/>
      <c r="P507" s="49"/>
      <c r="Q507" s="49"/>
      <c r="R507" s="49"/>
      <c r="S507" s="49"/>
      <c r="T507" s="49"/>
      <c r="U507" s="49"/>
      <c r="V507" s="49"/>
      <c r="W507" s="49">
        <v>4962</v>
      </c>
      <c r="X507" s="40">
        <f t="shared" si="50"/>
        <v>0</v>
      </c>
    </row>
    <row r="508" spans="2:24" ht="47.25">
      <c r="B508" s="295"/>
      <c r="C508" s="295"/>
      <c r="D508" s="292"/>
      <c r="E508" s="10" t="s">
        <v>396</v>
      </c>
      <c r="F508" s="76"/>
      <c r="G508" s="99"/>
      <c r="H508" s="224"/>
      <c r="I508" s="255"/>
      <c r="J508" s="9">
        <f>J509</f>
        <v>50000</v>
      </c>
      <c r="K508" s="9">
        <f aca="true" t="shared" si="54" ref="K508:W508">K509</f>
        <v>0</v>
      </c>
      <c r="L508" s="9">
        <f t="shared" si="54"/>
        <v>0</v>
      </c>
      <c r="M508" s="9">
        <f t="shared" si="54"/>
        <v>0</v>
      </c>
      <c r="N508" s="9">
        <f t="shared" si="54"/>
        <v>0</v>
      </c>
      <c r="O508" s="9">
        <f t="shared" si="54"/>
        <v>0</v>
      </c>
      <c r="P508" s="9">
        <f t="shared" si="54"/>
        <v>0</v>
      </c>
      <c r="Q508" s="9">
        <f t="shared" si="54"/>
        <v>0</v>
      </c>
      <c r="R508" s="9">
        <f t="shared" si="54"/>
        <v>0</v>
      </c>
      <c r="S508" s="9">
        <f t="shared" si="54"/>
        <v>50000</v>
      </c>
      <c r="T508" s="9">
        <f t="shared" si="54"/>
        <v>0</v>
      </c>
      <c r="U508" s="9">
        <f t="shared" si="54"/>
        <v>0</v>
      </c>
      <c r="V508" s="9">
        <f t="shared" si="54"/>
        <v>0</v>
      </c>
      <c r="W508" s="9">
        <f t="shared" si="54"/>
        <v>0</v>
      </c>
      <c r="X508" s="40">
        <f t="shared" si="50"/>
        <v>50000</v>
      </c>
    </row>
    <row r="509" spans="2:24" ht="15.75">
      <c r="B509" s="296"/>
      <c r="C509" s="296"/>
      <c r="D509" s="293"/>
      <c r="E509" s="11" t="s">
        <v>397</v>
      </c>
      <c r="F509" s="76"/>
      <c r="G509" s="99"/>
      <c r="H509" s="224"/>
      <c r="I509" s="255">
        <v>3110</v>
      </c>
      <c r="J509" s="9">
        <v>50000</v>
      </c>
      <c r="K509" s="49"/>
      <c r="L509" s="9"/>
      <c r="M509" s="49"/>
      <c r="N509" s="49"/>
      <c r="O509" s="49"/>
      <c r="P509" s="49"/>
      <c r="Q509" s="49"/>
      <c r="R509" s="49"/>
      <c r="S509" s="49">
        <v>50000</v>
      </c>
      <c r="T509" s="49"/>
      <c r="U509" s="49"/>
      <c r="V509" s="49"/>
      <c r="W509" s="49"/>
      <c r="X509" s="40">
        <f t="shared" si="50"/>
        <v>50000</v>
      </c>
    </row>
    <row r="510" spans="2:24" ht="15.75">
      <c r="B510" s="301" t="s">
        <v>238</v>
      </c>
      <c r="C510" s="301" t="s">
        <v>232</v>
      </c>
      <c r="D510" s="304" t="s">
        <v>794</v>
      </c>
      <c r="E510" s="25"/>
      <c r="F510" s="76"/>
      <c r="G510" s="99"/>
      <c r="H510" s="224"/>
      <c r="I510" s="255"/>
      <c r="J510" s="210">
        <f>J511+J513+J512</f>
        <v>1222990.1</v>
      </c>
      <c r="K510" s="210">
        <f aca="true" t="shared" si="55" ref="K510:W510">K511+K513+K512</f>
        <v>0</v>
      </c>
      <c r="L510" s="210">
        <f t="shared" si="55"/>
        <v>102744.1</v>
      </c>
      <c r="M510" s="210">
        <f t="shared" si="55"/>
        <v>0</v>
      </c>
      <c r="N510" s="210">
        <f t="shared" si="55"/>
        <v>0</v>
      </c>
      <c r="O510" s="210">
        <f t="shared" si="55"/>
        <v>6500</v>
      </c>
      <c r="P510" s="210">
        <f t="shared" si="55"/>
        <v>81794</v>
      </c>
      <c r="Q510" s="210">
        <f t="shared" si="55"/>
        <v>260000</v>
      </c>
      <c r="R510" s="210">
        <f t="shared" si="55"/>
        <v>660142</v>
      </c>
      <c r="S510" s="210">
        <f t="shared" si="55"/>
        <v>111810</v>
      </c>
      <c r="T510" s="210">
        <f t="shared" si="55"/>
        <v>0</v>
      </c>
      <c r="U510" s="210">
        <f t="shared" si="55"/>
        <v>0</v>
      </c>
      <c r="V510" s="210">
        <f t="shared" si="55"/>
        <v>0</v>
      </c>
      <c r="W510" s="210">
        <f t="shared" si="55"/>
        <v>717698.16</v>
      </c>
      <c r="X510" s="184">
        <f t="shared" si="50"/>
        <v>505291.94000000006</v>
      </c>
    </row>
    <row r="511" spans="2:24" ht="110.25">
      <c r="B511" s="295"/>
      <c r="C511" s="295"/>
      <c r="D511" s="292"/>
      <c r="E511" s="24" t="s">
        <v>795</v>
      </c>
      <c r="F511" s="76">
        <v>754832.73</v>
      </c>
      <c r="G511" s="18">
        <f>100%-((F511-H511)/F511)</f>
        <v>0.3108529753340187</v>
      </c>
      <c r="H511" s="224">
        <v>234642</v>
      </c>
      <c r="I511" s="255">
        <v>3142</v>
      </c>
      <c r="J511" s="9">
        <v>102744.1</v>
      </c>
      <c r="K511" s="49"/>
      <c r="L511" s="9">
        <v>102744.1</v>
      </c>
      <c r="M511" s="49"/>
      <c r="N511" s="49"/>
      <c r="O511" s="49"/>
      <c r="P511" s="49"/>
      <c r="Q511" s="49"/>
      <c r="R511" s="49"/>
      <c r="S511" s="49"/>
      <c r="T511" s="49"/>
      <c r="U511" s="49"/>
      <c r="V511" s="49"/>
      <c r="W511" s="49">
        <v>102744.1</v>
      </c>
      <c r="X511" s="40">
        <f t="shared" si="50"/>
        <v>0</v>
      </c>
    </row>
    <row r="512" spans="2:24" ht="47.25">
      <c r="B512" s="295"/>
      <c r="C512" s="295"/>
      <c r="D512" s="292"/>
      <c r="E512" s="24" t="s">
        <v>355</v>
      </c>
      <c r="F512" s="76"/>
      <c r="G512" s="18"/>
      <c r="H512" s="224"/>
      <c r="I512" s="255">
        <v>3142</v>
      </c>
      <c r="J512" s="9">
        <v>955000</v>
      </c>
      <c r="K512" s="49"/>
      <c r="L512" s="9"/>
      <c r="M512" s="49"/>
      <c r="N512" s="49"/>
      <c r="O512" s="49"/>
      <c r="P512" s="49">
        <v>83190</v>
      </c>
      <c r="Q512" s="49">
        <v>260000</v>
      </c>
      <c r="R512" s="49">
        <v>500000</v>
      </c>
      <c r="S512" s="49">
        <v>111810</v>
      </c>
      <c r="T512" s="49"/>
      <c r="U512" s="49"/>
      <c r="V512" s="49"/>
      <c r="W512" s="49">
        <f>13186.06+30767.46+264852.6+210839.14</f>
        <v>519645.26</v>
      </c>
      <c r="X512" s="40">
        <f t="shared" si="50"/>
        <v>435354.74</v>
      </c>
    </row>
    <row r="513" spans="2:24" ht="94.5">
      <c r="B513" s="302"/>
      <c r="C513" s="302"/>
      <c r="D513" s="305"/>
      <c r="E513" s="95" t="s">
        <v>661</v>
      </c>
      <c r="F513" s="76">
        <v>754832.73</v>
      </c>
      <c r="G513" s="18">
        <f>100%-((F513-H513)/F513)</f>
        <v>0.3108529753340187</v>
      </c>
      <c r="H513" s="224">
        <v>234642</v>
      </c>
      <c r="I513" s="255">
        <v>3142</v>
      </c>
      <c r="J513" s="49">
        <f>234642-69396</f>
        <v>165246</v>
      </c>
      <c r="K513" s="49"/>
      <c r="L513" s="49"/>
      <c r="M513" s="49"/>
      <c r="N513" s="49"/>
      <c r="O513" s="49">
        <v>6500</v>
      </c>
      <c r="P513" s="49">
        <f>68000-69396</f>
        <v>-1396</v>
      </c>
      <c r="Q513" s="49"/>
      <c r="R513" s="49">
        <v>160142</v>
      </c>
      <c r="S513" s="49"/>
      <c r="T513" s="49"/>
      <c r="U513" s="49"/>
      <c r="V513" s="49"/>
      <c r="W513" s="49">
        <f>1848+93460.8</f>
        <v>95308.8</v>
      </c>
      <c r="X513" s="40">
        <f t="shared" si="50"/>
        <v>69937.2</v>
      </c>
    </row>
    <row r="514" spans="2:24" ht="15.75">
      <c r="B514" s="194"/>
      <c r="C514" s="195"/>
      <c r="D514" s="297" t="s">
        <v>288</v>
      </c>
      <c r="E514" s="298"/>
      <c r="F514" s="100"/>
      <c r="G514" s="101"/>
      <c r="H514" s="223"/>
      <c r="I514" s="254"/>
      <c r="J514" s="43">
        <f>J524+J522+J515</f>
        <v>2000433.4</v>
      </c>
      <c r="K514" s="43">
        <f aca="true" t="shared" si="56" ref="K514:W514">K524+K522+K515</f>
        <v>0</v>
      </c>
      <c r="L514" s="43">
        <f t="shared" si="56"/>
        <v>85683.4</v>
      </c>
      <c r="M514" s="43">
        <f t="shared" si="56"/>
        <v>0</v>
      </c>
      <c r="N514" s="43">
        <f t="shared" si="56"/>
        <v>4000</v>
      </c>
      <c r="O514" s="43">
        <f t="shared" si="56"/>
        <v>183800</v>
      </c>
      <c r="P514" s="43">
        <f t="shared" si="56"/>
        <v>350000</v>
      </c>
      <c r="Q514" s="43">
        <f t="shared" si="56"/>
        <v>350000</v>
      </c>
      <c r="R514" s="43">
        <f t="shared" si="56"/>
        <v>957500</v>
      </c>
      <c r="S514" s="43">
        <f t="shared" si="56"/>
        <v>69450</v>
      </c>
      <c r="T514" s="43">
        <f t="shared" si="56"/>
        <v>0</v>
      </c>
      <c r="U514" s="43">
        <f t="shared" si="56"/>
        <v>0</v>
      </c>
      <c r="V514" s="43">
        <f t="shared" si="56"/>
        <v>0</v>
      </c>
      <c r="W514" s="43">
        <f t="shared" si="56"/>
        <v>1306652.5</v>
      </c>
      <c r="X514" s="60">
        <f t="shared" si="50"/>
        <v>693780.8999999999</v>
      </c>
    </row>
    <row r="515" spans="2:24" ht="15.75">
      <c r="B515" s="308" t="s">
        <v>694</v>
      </c>
      <c r="C515" s="332" t="s">
        <v>692</v>
      </c>
      <c r="D515" s="304" t="s">
        <v>70</v>
      </c>
      <c r="E515" s="94"/>
      <c r="F515" s="76"/>
      <c r="G515" s="99"/>
      <c r="H515" s="224"/>
      <c r="I515" s="255"/>
      <c r="J515" s="211">
        <f>SUM(J516:J521)</f>
        <v>743000</v>
      </c>
      <c r="K515" s="211">
        <f aca="true" t="shared" si="57" ref="K515:W515">SUM(K516:K521)</f>
        <v>0</v>
      </c>
      <c r="L515" s="211">
        <f t="shared" si="57"/>
        <v>0</v>
      </c>
      <c r="M515" s="211">
        <f t="shared" si="57"/>
        <v>0</v>
      </c>
      <c r="N515" s="211">
        <f t="shared" si="57"/>
        <v>0</v>
      </c>
      <c r="O515" s="211">
        <f t="shared" si="57"/>
        <v>85500</v>
      </c>
      <c r="P515" s="211">
        <f t="shared" si="57"/>
        <v>0</v>
      </c>
      <c r="Q515" s="211">
        <f t="shared" si="57"/>
        <v>0</v>
      </c>
      <c r="R515" s="211">
        <f t="shared" si="57"/>
        <v>657500</v>
      </c>
      <c r="S515" s="211">
        <f t="shared" si="57"/>
        <v>0</v>
      </c>
      <c r="T515" s="211">
        <f t="shared" si="57"/>
        <v>0</v>
      </c>
      <c r="U515" s="211">
        <f t="shared" si="57"/>
        <v>0</v>
      </c>
      <c r="V515" s="211">
        <f t="shared" si="57"/>
        <v>0</v>
      </c>
      <c r="W515" s="211">
        <f t="shared" si="57"/>
        <v>92398</v>
      </c>
      <c r="X515" s="184">
        <f t="shared" si="50"/>
        <v>650602</v>
      </c>
    </row>
    <row r="516" spans="2:24" ht="63">
      <c r="B516" s="325"/>
      <c r="C516" s="334"/>
      <c r="D516" s="292"/>
      <c r="E516" s="94" t="s">
        <v>386</v>
      </c>
      <c r="F516" s="76"/>
      <c r="G516" s="99"/>
      <c r="H516" s="224"/>
      <c r="I516" s="255">
        <v>3110</v>
      </c>
      <c r="J516" s="76">
        <v>204100</v>
      </c>
      <c r="K516" s="49"/>
      <c r="L516" s="49"/>
      <c r="M516" s="49"/>
      <c r="N516" s="49"/>
      <c r="O516" s="49"/>
      <c r="P516" s="49"/>
      <c r="Q516" s="49"/>
      <c r="R516" s="49">
        <v>204100</v>
      </c>
      <c r="S516" s="49"/>
      <c r="T516" s="49"/>
      <c r="U516" s="49"/>
      <c r="V516" s="49"/>
      <c r="W516" s="49"/>
      <c r="X516" s="40">
        <f t="shared" si="50"/>
        <v>204100</v>
      </c>
    </row>
    <row r="517" spans="2:24" ht="63">
      <c r="B517" s="325"/>
      <c r="C517" s="334"/>
      <c r="D517" s="292"/>
      <c r="E517" s="94" t="s">
        <v>387</v>
      </c>
      <c r="F517" s="76"/>
      <c r="G517" s="99"/>
      <c r="H517" s="224"/>
      <c r="I517" s="255">
        <v>3110</v>
      </c>
      <c r="J517" s="76">
        <v>134400</v>
      </c>
      <c r="K517" s="49"/>
      <c r="L517" s="49"/>
      <c r="M517" s="49"/>
      <c r="N517" s="49"/>
      <c r="O517" s="49"/>
      <c r="P517" s="49"/>
      <c r="Q517" s="49"/>
      <c r="R517" s="49">
        <v>134400</v>
      </c>
      <c r="S517" s="49"/>
      <c r="T517" s="49"/>
      <c r="U517" s="49"/>
      <c r="V517" s="49"/>
      <c r="W517" s="49"/>
      <c r="X517" s="40">
        <f t="shared" si="50"/>
        <v>134400</v>
      </c>
    </row>
    <row r="518" spans="2:24" ht="157.5">
      <c r="B518" s="325"/>
      <c r="C518" s="334"/>
      <c r="D518" s="292"/>
      <c r="E518" s="94" t="s">
        <v>504</v>
      </c>
      <c r="F518" s="76"/>
      <c r="G518" s="99"/>
      <c r="H518" s="224"/>
      <c r="I518" s="255">
        <v>3110</v>
      </c>
      <c r="J518" s="76">
        <v>290000</v>
      </c>
      <c r="K518" s="49"/>
      <c r="L518" s="49"/>
      <c r="M518" s="49"/>
      <c r="N518" s="49"/>
      <c r="O518" s="49"/>
      <c r="P518" s="49"/>
      <c r="Q518" s="49"/>
      <c r="R518" s="49">
        <v>290000</v>
      </c>
      <c r="S518" s="49"/>
      <c r="T518" s="49"/>
      <c r="U518" s="49"/>
      <c r="V518" s="49"/>
      <c r="W518" s="49"/>
      <c r="X518" s="40">
        <f t="shared" si="50"/>
        <v>290000</v>
      </c>
    </row>
    <row r="519" spans="2:24" ht="94.5">
      <c r="B519" s="325"/>
      <c r="C519" s="334"/>
      <c r="D519" s="292"/>
      <c r="E519" s="94" t="s">
        <v>852</v>
      </c>
      <c r="F519" s="76"/>
      <c r="G519" s="99"/>
      <c r="H519" s="224"/>
      <c r="I519" s="255">
        <v>3110</v>
      </c>
      <c r="J519" s="76">
        <v>29000</v>
      </c>
      <c r="K519" s="49"/>
      <c r="L519" s="49"/>
      <c r="M519" s="49"/>
      <c r="N519" s="49"/>
      <c r="O519" s="49"/>
      <c r="P519" s="49"/>
      <c r="Q519" s="49"/>
      <c r="R519" s="49">
        <v>29000</v>
      </c>
      <c r="S519" s="49"/>
      <c r="T519" s="49"/>
      <c r="U519" s="49"/>
      <c r="V519" s="49"/>
      <c r="W519" s="49">
        <v>6898</v>
      </c>
      <c r="X519" s="40">
        <f t="shared" si="50"/>
        <v>22102</v>
      </c>
    </row>
    <row r="520" spans="2:24" ht="47.25">
      <c r="B520" s="325"/>
      <c r="C520" s="334"/>
      <c r="D520" s="292"/>
      <c r="E520" s="94" t="s">
        <v>853</v>
      </c>
      <c r="F520" s="76"/>
      <c r="G520" s="99"/>
      <c r="H520" s="224"/>
      <c r="I520" s="255">
        <v>3110</v>
      </c>
      <c r="J520" s="76">
        <v>45000</v>
      </c>
      <c r="K520" s="49"/>
      <c r="L520" s="49"/>
      <c r="M520" s="49"/>
      <c r="N520" s="49"/>
      <c r="O520" s="49">
        <v>45000</v>
      </c>
      <c r="P520" s="49"/>
      <c r="Q520" s="49"/>
      <c r="R520" s="49"/>
      <c r="S520" s="49"/>
      <c r="T520" s="49"/>
      <c r="U520" s="49"/>
      <c r="V520" s="49"/>
      <c r="W520" s="49">
        <f>25100+19900</f>
        <v>45000</v>
      </c>
      <c r="X520" s="40">
        <f t="shared" si="50"/>
        <v>0</v>
      </c>
    </row>
    <row r="521" spans="2:24" ht="47.25">
      <c r="B521" s="309"/>
      <c r="C521" s="333"/>
      <c r="D521" s="305"/>
      <c r="E521" s="94" t="s">
        <v>854</v>
      </c>
      <c r="F521" s="76"/>
      <c r="G521" s="99"/>
      <c r="H521" s="224"/>
      <c r="I521" s="255">
        <v>3110</v>
      </c>
      <c r="J521" s="76">
        <v>40500</v>
      </c>
      <c r="K521" s="49"/>
      <c r="L521" s="49"/>
      <c r="M521" s="49"/>
      <c r="N521" s="49"/>
      <c r="O521" s="49">
        <v>40500</v>
      </c>
      <c r="P521" s="49"/>
      <c r="Q521" s="49"/>
      <c r="R521" s="49"/>
      <c r="S521" s="49"/>
      <c r="T521" s="49"/>
      <c r="U521" s="49"/>
      <c r="V521" s="49"/>
      <c r="W521" s="49">
        <f>40500</f>
        <v>40500</v>
      </c>
      <c r="X521" s="40">
        <f t="shared" si="50"/>
        <v>0</v>
      </c>
    </row>
    <row r="522" spans="2:24" ht="15.75">
      <c r="B522" s="308" t="s">
        <v>729</v>
      </c>
      <c r="C522" s="308" t="s">
        <v>691</v>
      </c>
      <c r="D522" s="304" t="s">
        <v>728</v>
      </c>
      <c r="E522" s="94"/>
      <c r="F522" s="76"/>
      <c r="G522" s="99"/>
      <c r="H522" s="224"/>
      <c r="I522" s="255"/>
      <c r="J522" s="211">
        <f>J523</f>
        <v>248250</v>
      </c>
      <c r="K522" s="211">
        <f aca="true" t="shared" si="58" ref="K522:W522">K523</f>
        <v>0</v>
      </c>
      <c r="L522" s="211">
        <f t="shared" si="58"/>
        <v>0</v>
      </c>
      <c r="M522" s="211">
        <f t="shared" si="58"/>
        <v>0</v>
      </c>
      <c r="N522" s="211">
        <f t="shared" si="58"/>
        <v>4000</v>
      </c>
      <c r="O522" s="211">
        <f t="shared" si="58"/>
        <v>50000</v>
      </c>
      <c r="P522" s="211">
        <f t="shared" si="58"/>
        <v>50000</v>
      </c>
      <c r="Q522" s="211">
        <f t="shared" si="58"/>
        <v>50000</v>
      </c>
      <c r="R522" s="211">
        <f t="shared" si="58"/>
        <v>50000</v>
      </c>
      <c r="S522" s="211">
        <f t="shared" si="58"/>
        <v>44250</v>
      </c>
      <c r="T522" s="211">
        <f t="shared" si="58"/>
        <v>0</v>
      </c>
      <c r="U522" s="211">
        <f t="shared" si="58"/>
        <v>0</v>
      </c>
      <c r="V522" s="211">
        <f t="shared" si="58"/>
        <v>0</v>
      </c>
      <c r="W522" s="211">
        <f t="shared" si="58"/>
        <v>207469.7</v>
      </c>
      <c r="X522" s="184">
        <f t="shared" si="50"/>
        <v>40780.29999999999</v>
      </c>
    </row>
    <row r="523" spans="2:24" ht="78.75">
      <c r="B523" s="309"/>
      <c r="C523" s="309"/>
      <c r="D523" s="305"/>
      <c r="E523" s="145" t="s">
        <v>191</v>
      </c>
      <c r="F523" s="76"/>
      <c r="G523" s="99"/>
      <c r="H523" s="224"/>
      <c r="I523" s="255">
        <v>3240</v>
      </c>
      <c r="J523" s="76">
        <v>248250</v>
      </c>
      <c r="K523" s="49"/>
      <c r="L523" s="49"/>
      <c r="M523" s="49"/>
      <c r="N523" s="76">
        <v>4000</v>
      </c>
      <c r="O523" s="76">
        <v>50000</v>
      </c>
      <c r="P523" s="76">
        <v>50000</v>
      </c>
      <c r="Q523" s="76">
        <v>50000</v>
      </c>
      <c r="R523" s="76">
        <v>50000</v>
      </c>
      <c r="S523" s="76">
        <v>44250</v>
      </c>
      <c r="T523" s="49"/>
      <c r="U523" s="49"/>
      <c r="V523" s="49"/>
      <c r="W523" s="49">
        <f>1188+1188+22646.7+28851.3+35243.6+1584+29921.9+32123.7+54722.5</f>
        <v>207469.7</v>
      </c>
      <c r="X523" s="40">
        <f t="shared" si="50"/>
        <v>40780.29999999999</v>
      </c>
    </row>
    <row r="524" spans="2:24" ht="15.75">
      <c r="B524" s="301" t="s">
        <v>122</v>
      </c>
      <c r="C524" s="301" t="s">
        <v>796</v>
      </c>
      <c r="D524" s="304" t="s">
        <v>449</v>
      </c>
      <c r="E524" s="94"/>
      <c r="F524" s="76"/>
      <c r="G524" s="99"/>
      <c r="H524" s="224"/>
      <c r="I524" s="255"/>
      <c r="J524" s="211">
        <f>SUM(J525:J531)</f>
        <v>1009183.4</v>
      </c>
      <c r="K524" s="211">
        <f aca="true" t="shared" si="59" ref="K524:W524">SUM(K525:K531)</f>
        <v>0</v>
      </c>
      <c r="L524" s="211">
        <f t="shared" si="59"/>
        <v>85683.4</v>
      </c>
      <c r="M524" s="211">
        <f t="shared" si="59"/>
        <v>0</v>
      </c>
      <c r="N524" s="211">
        <f t="shared" si="59"/>
        <v>0</v>
      </c>
      <c r="O524" s="211">
        <f t="shared" si="59"/>
        <v>48300</v>
      </c>
      <c r="P524" s="211">
        <f t="shared" si="59"/>
        <v>300000</v>
      </c>
      <c r="Q524" s="211">
        <f t="shared" si="59"/>
        <v>300000</v>
      </c>
      <c r="R524" s="211">
        <f t="shared" si="59"/>
        <v>250000</v>
      </c>
      <c r="S524" s="211">
        <f t="shared" si="59"/>
        <v>25200</v>
      </c>
      <c r="T524" s="211">
        <f t="shared" si="59"/>
        <v>0</v>
      </c>
      <c r="U524" s="211">
        <f t="shared" si="59"/>
        <v>0</v>
      </c>
      <c r="V524" s="211">
        <f t="shared" si="59"/>
        <v>0</v>
      </c>
      <c r="W524" s="211">
        <f t="shared" si="59"/>
        <v>1006784.8</v>
      </c>
      <c r="X524" s="184">
        <f t="shared" si="50"/>
        <v>2398.5999999999767</v>
      </c>
    </row>
    <row r="525" spans="2:24" ht="94.5">
      <c r="B525" s="295"/>
      <c r="C525" s="295"/>
      <c r="D525" s="292"/>
      <c r="E525" s="27" t="s">
        <v>450</v>
      </c>
      <c r="F525" s="76"/>
      <c r="G525" s="99"/>
      <c r="H525" s="224"/>
      <c r="I525" s="255">
        <v>3132</v>
      </c>
      <c r="J525" s="9">
        <v>72883.4</v>
      </c>
      <c r="K525" s="49"/>
      <c r="L525" s="9">
        <v>72883.4</v>
      </c>
      <c r="M525" s="49"/>
      <c r="N525" s="49"/>
      <c r="O525" s="49"/>
      <c r="P525" s="49"/>
      <c r="Q525" s="49"/>
      <c r="R525" s="49"/>
      <c r="S525" s="49"/>
      <c r="T525" s="49"/>
      <c r="U525" s="49"/>
      <c r="V525" s="49"/>
      <c r="W525" s="49">
        <v>72883.4</v>
      </c>
      <c r="X525" s="40">
        <f t="shared" si="50"/>
        <v>0</v>
      </c>
    </row>
    <row r="526" spans="2:24" ht="110.25">
      <c r="B526" s="295"/>
      <c r="C526" s="295"/>
      <c r="D526" s="292"/>
      <c r="E526" s="27" t="s">
        <v>152</v>
      </c>
      <c r="F526" s="76"/>
      <c r="G526" s="99"/>
      <c r="H526" s="224"/>
      <c r="I526" s="255">
        <v>3110</v>
      </c>
      <c r="J526" s="9">
        <v>2800</v>
      </c>
      <c r="K526" s="49"/>
      <c r="L526" s="49"/>
      <c r="M526" s="49"/>
      <c r="N526" s="49"/>
      <c r="O526" s="49">
        <v>2800</v>
      </c>
      <c r="P526" s="49"/>
      <c r="Q526" s="49"/>
      <c r="R526" s="49"/>
      <c r="S526" s="49"/>
      <c r="T526" s="49"/>
      <c r="U526" s="49"/>
      <c r="V526" s="49"/>
      <c r="W526" s="49">
        <v>2795</v>
      </c>
      <c r="X526" s="40">
        <f t="shared" si="50"/>
        <v>5</v>
      </c>
    </row>
    <row r="527" spans="2:24" ht="94.5">
      <c r="B527" s="295"/>
      <c r="C527" s="295"/>
      <c r="D527" s="292"/>
      <c r="E527" s="27" t="s">
        <v>261</v>
      </c>
      <c r="F527" s="76"/>
      <c r="G527" s="99"/>
      <c r="H527" s="224"/>
      <c r="I527" s="255">
        <v>3110</v>
      </c>
      <c r="J527" s="9">
        <v>26000</v>
      </c>
      <c r="K527" s="49"/>
      <c r="L527" s="49"/>
      <c r="M527" s="49"/>
      <c r="N527" s="49"/>
      <c r="O527" s="49">
        <v>26000</v>
      </c>
      <c r="P527" s="49"/>
      <c r="Q527" s="49"/>
      <c r="R527" s="49"/>
      <c r="S527" s="49"/>
      <c r="T527" s="49"/>
      <c r="U527" s="49"/>
      <c r="V527" s="49"/>
      <c r="W527" s="49">
        <v>26000</v>
      </c>
      <c r="X527" s="40">
        <f t="shared" si="50"/>
        <v>0</v>
      </c>
    </row>
    <row r="528" spans="2:24" ht="78.75">
      <c r="B528" s="295"/>
      <c r="C528" s="295"/>
      <c r="D528" s="292"/>
      <c r="E528" s="27" t="s">
        <v>339</v>
      </c>
      <c r="F528" s="76"/>
      <c r="G528" s="99"/>
      <c r="H528" s="224"/>
      <c r="I528" s="255">
        <v>3110</v>
      </c>
      <c r="J528" s="9">
        <v>19500</v>
      </c>
      <c r="K528" s="49"/>
      <c r="L528" s="49"/>
      <c r="M528" s="49"/>
      <c r="N528" s="49"/>
      <c r="O528" s="49">
        <v>19500</v>
      </c>
      <c r="P528" s="49"/>
      <c r="Q528" s="49"/>
      <c r="R528" s="49"/>
      <c r="S528" s="49"/>
      <c r="T528" s="49"/>
      <c r="U528" s="49"/>
      <c r="V528" s="49"/>
      <c r="W528" s="49">
        <v>17191</v>
      </c>
      <c r="X528" s="40">
        <f t="shared" si="50"/>
        <v>2309</v>
      </c>
    </row>
    <row r="529" spans="2:24" ht="126">
      <c r="B529" s="295"/>
      <c r="C529" s="295"/>
      <c r="D529" s="292"/>
      <c r="E529" s="27" t="s">
        <v>672</v>
      </c>
      <c r="F529" s="76"/>
      <c r="G529" s="99"/>
      <c r="H529" s="224"/>
      <c r="I529" s="255">
        <v>3132</v>
      </c>
      <c r="J529" s="9">
        <v>850000</v>
      </c>
      <c r="K529" s="49"/>
      <c r="L529" s="49"/>
      <c r="M529" s="49"/>
      <c r="N529" s="49"/>
      <c r="O529" s="49"/>
      <c r="P529" s="49">
        <v>300000</v>
      </c>
      <c r="Q529" s="49">
        <v>300000</v>
      </c>
      <c r="R529" s="49">
        <v>250000</v>
      </c>
      <c r="S529" s="49"/>
      <c r="T529" s="49"/>
      <c r="U529" s="49"/>
      <c r="V529" s="49"/>
      <c r="W529" s="49">
        <f>1406.4+254567.7+342595.3+251396</f>
        <v>849965.4</v>
      </c>
      <c r="X529" s="40">
        <f t="shared" si="50"/>
        <v>34.59999999997672</v>
      </c>
    </row>
    <row r="530" spans="2:24" ht="63">
      <c r="B530" s="295"/>
      <c r="C530" s="295"/>
      <c r="D530" s="292"/>
      <c r="E530" s="27" t="s">
        <v>673</v>
      </c>
      <c r="F530" s="76"/>
      <c r="G530" s="99"/>
      <c r="H530" s="224"/>
      <c r="I530" s="255">
        <v>3110</v>
      </c>
      <c r="J530" s="9">
        <v>25200</v>
      </c>
      <c r="K530" s="49"/>
      <c r="L530" s="49"/>
      <c r="M530" s="49"/>
      <c r="N530" s="49"/>
      <c r="O530" s="49"/>
      <c r="P530" s="49"/>
      <c r="Q530" s="49"/>
      <c r="R530" s="49"/>
      <c r="S530" s="49">
        <v>25200</v>
      </c>
      <c r="T530" s="49"/>
      <c r="U530" s="49"/>
      <c r="V530" s="49"/>
      <c r="W530" s="49">
        <v>25150</v>
      </c>
      <c r="X530" s="40">
        <f t="shared" si="50"/>
        <v>50</v>
      </c>
    </row>
    <row r="531" spans="2:24" ht="110.25">
      <c r="B531" s="302"/>
      <c r="C531" s="302"/>
      <c r="D531" s="305"/>
      <c r="E531" s="27" t="s">
        <v>451</v>
      </c>
      <c r="F531" s="76"/>
      <c r="G531" s="99"/>
      <c r="H531" s="224"/>
      <c r="I531" s="255">
        <v>3110</v>
      </c>
      <c r="J531" s="9">
        <v>12800</v>
      </c>
      <c r="K531" s="49"/>
      <c r="L531" s="9">
        <v>12800</v>
      </c>
      <c r="M531" s="49"/>
      <c r="N531" s="49"/>
      <c r="O531" s="49"/>
      <c r="P531" s="49"/>
      <c r="Q531" s="49"/>
      <c r="R531" s="49"/>
      <c r="S531" s="49"/>
      <c r="T531" s="49"/>
      <c r="U531" s="49"/>
      <c r="V531" s="49"/>
      <c r="W531" s="49">
        <v>12800</v>
      </c>
      <c r="X531" s="40">
        <f t="shared" si="50"/>
        <v>0</v>
      </c>
    </row>
    <row r="532" spans="2:24" ht="15.75">
      <c r="B532" s="194"/>
      <c r="C532" s="195"/>
      <c r="D532" s="297" t="s">
        <v>289</v>
      </c>
      <c r="E532" s="298"/>
      <c r="F532" s="100"/>
      <c r="G532" s="101"/>
      <c r="H532" s="223"/>
      <c r="I532" s="254"/>
      <c r="J532" s="43">
        <f aca="true" t="shared" si="60" ref="J532:W532">J535+J556+J579+J662+J666+J669+J553+J609+J660+J576+J533+J674</f>
        <v>98697538.39</v>
      </c>
      <c r="K532" s="43">
        <f t="shared" si="60"/>
        <v>0</v>
      </c>
      <c r="L532" s="43">
        <f t="shared" si="60"/>
        <v>3308538.190000001</v>
      </c>
      <c r="M532" s="43">
        <f t="shared" si="60"/>
        <v>599979.68</v>
      </c>
      <c r="N532" s="43">
        <f t="shared" si="60"/>
        <v>0</v>
      </c>
      <c r="O532" s="43">
        <f t="shared" si="60"/>
        <v>8086764.55</v>
      </c>
      <c r="P532" s="43">
        <f t="shared" si="60"/>
        <v>8476236.21</v>
      </c>
      <c r="Q532" s="43">
        <f t="shared" si="60"/>
        <v>9232216.84</v>
      </c>
      <c r="R532" s="43">
        <f t="shared" si="60"/>
        <v>25513595.56</v>
      </c>
      <c r="S532" s="43">
        <f t="shared" si="60"/>
        <v>33148866.7</v>
      </c>
      <c r="T532" s="43">
        <f t="shared" si="60"/>
        <v>4305706.46</v>
      </c>
      <c r="U532" s="43">
        <f t="shared" si="60"/>
        <v>2800987.2</v>
      </c>
      <c r="V532" s="43">
        <f t="shared" si="60"/>
        <v>3224647</v>
      </c>
      <c r="W532" s="43">
        <f t="shared" si="60"/>
        <v>38172909.269999996</v>
      </c>
      <c r="X532" s="60">
        <f t="shared" si="50"/>
        <v>54498994.92</v>
      </c>
    </row>
    <row r="533" spans="2:24" ht="15.75">
      <c r="B533" s="332" t="s">
        <v>694</v>
      </c>
      <c r="C533" s="332" t="s">
        <v>692</v>
      </c>
      <c r="D533" s="304" t="s">
        <v>70</v>
      </c>
      <c r="E533" s="94"/>
      <c r="F533" s="76"/>
      <c r="G533" s="99"/>
      <c r="H533" s="224"/>
      <c r="I533" s="255"/>
      <c r="J533" s="211">
        <f>J534</f>
        <v>33000</v>
      </c>
      <c r="K533" s="211">
        <f aca="true" t="shared" si="61" ref="K533:W533">K534</f>
        <v>0</v>
      </c>
      <c r="L533" s="211">
        <f t="shared" si="61"/>
        <v>0</v>
      </c>
      <c r="M533" s="211">
        <f t="shared" si="61"/>
        <v>0</v>
      </c>
      <c r="N533" s="211">
        <f t="shared" si="61"/>
        <v>0</v>
      </c>
      <c r="O533" s="211">
        <f t="shared" si="61"/>
        <v>33000</v>
      </c>
      <c r="P533" s="211">
        <f t="shared" si="61"/>
        <v>0</v>
      </c>
      <c r="Q533" s="211">
        <f t="shared" si="61"/>
        <v>0</v>
      </c>
      <c r="R533" s="211">
        <f t="shared" si="61"/>
        <v>0</v>
      </c>
      <c r="S533" s="211">
        <f t="shared" si="61"/>
        <v>0</v>
      </c>
      <c r="T533" s="211">
        <f t="shared" si="61"/>
        <v>0</v>
      </c>
      <c r="U533" s="211">
        <f t="shared" si="61"/>
        <v>0</v>
      </c>
      <c r="V533" s="211">
        <f t="shared" si="61"/>
        <v>0</v>
      </c>
      <c r="W533" s="211">
        <f t="shared" si="61"/>
        <v>32788</v>
      </c>
      <c r="X533" s="184">
        <f t="shared" si="50"/>
        <v>212</v>
      </c>
    </row>
    <row r="534" spans="2:24" ht="15.75">
      <c r="B534" s="333"/>
      <c r="C534" s="333"/>
      <c r="D534" s="305"/>
      <c r="E534" s="103" t="s">
        <v>674</v>
      </c>
      <c r="F534" s="104"/>
      <c r="G534" s="104"/>
      <c r="H534" s="226"/>
      <c r="I534" s="250">
        <v>3110</v>
      </c>
      <c r="J534" s="21">
        <v>33000</v>
      </c>
      <c r="K534" s="49"/>
      <c r="L534" s="49"/>
      <c r="M534" s="49"/>
      <c r="N534" s="49"/>
      <c r="O534" s="49">
        <v>33000</v>
      </c>
      <c r="P534" s="49"/>
      <c r="Q534" s="49"/>
      <c r="R534" s="49"/>
      <c r="S534" s="49"/>
      <c r="T534" s="49"/>
      <c r="U534" s="49"/>
      <c r="V534" s="49"/>
      <c r="W534" s="49">
        <v>32788</v>
      </c>
      <c r="X534" s="40">
        <f t="shared" si="50"/>
        <v>212</v>
      </c>
    </row>
    <row r="535" spans="2:24" ht="15.75">
      <c r="B535" s="301" t="s">
        <v>845</v>
      </c>
      <c r="C535" s="301" t="s">
        <v>240</v>
      </c>
      <c r="D535" s="304" t="s">
        <v>241</v>
      </c>
      <c r="E535" s="94"/>
      <c r="F535" s="76"/>
      <c r="G535" s="99"/>
      <c r="H535" s="224"/>
      <c r="I535" s="255"/>
      <c r="J535" s="211">
        <f>SUM(J536:J552)</f>
        <v>11532358.52</v>
      </c>
      <c r="K535" s="211">
        <f aca="true" t="shared" si="62" ref="K535:W535">SUM(K536:K552)</f>
        <v>0</v>
      </c>
      <c r="L535" s="211">
        <f t="shared" si="62"/>
        <v>1210094.84</v>
      </c>
      <c r="M535" s="211">
        <f t="shared" si="62"/>
        <v>549979.68</v>
      </c>
      <c r="N535" s="211">
        <f t="shared" si="62"/>
        <v>0</v>
      </c>
      <c r="O535" s="211">
        <f t="shared" si="62"/>
        <v>2072682.39</v>
      </c>
      <c r="P535" s="211">
        <f t="shared" si="62"/>
        <v>1830992.5</v>
      </c>
      <c r="Q535" s="211">
        <f t="shared" si="62"/>
        <v>1347416.84</v>
      </c>
      <c r="R535" s="211">
        <f t="shared" si="62"/>
        <v>1480533.75</v>
      </c>
      <c r="S535" s="211">
        <f t="shared" si="62"/>
        <v>985641.75</v>
      </c>
      <c r="T535" s="211">
        <f t="shared" si="62"/>
        <v>657850.25</v>
      </c>
      <c r="U535" s="211">
        <f t="shared" si="62"/>
        <v>560522.52</v>
      </c>
      <c r="V535" s="211">
        <f t="shared" si="62"/>
        <v>836644</v>
      </c>
      <c r="W535" s="211">
        <f t="shared" si="62"/>
        <v>8983592.3</v>
      </c>
      <c r="X535" s="184">
        <f t="shared" si="50"/>
        <v>1151599.6999999993</v>
      </c>
    </row>
    <row r="536" spans="2:24" ht="63">
      <c r="B536" s="295"/>
      <c r="C536" s="295"/>
      <c r="D536" s="292"/>
      <c r="E536" s="19" t="s">
        <v>243</v>
      </c>
      <c r="F536" s="76"/>
      <c r="G536" s="99"/>
      <c r="H536" s="224"/>
      <c r="I536" s="255">
        <v>3131</v>
      </c>
      <c r="J536" s="9">
        <v>101257.81</v>
      </c>
      <c r="K536" s="49"/>
      <c r="L536" s="9">
        <v>101257.81</v>
      </c>
      <c r="M536" s="49"/>
      <c r="N536" s="49"/>
      <c r="O536" s="49"/>
      <c r="P536" s="49"/>
      <c r="Q536" s="49"/>
      <c r="R536" s="49"/>
      <c r="S536" s="49"/>
      <c r="T536" s="49"/>
      <c r="U536" s="49"/>
      <c r="V536" s="49"/>
      <c r="W536" s="9">
        <v>101257.81</v>
      </c>
      <c r="X536" s="40">
        <f t="shared" si="50"/>
        <v>0</v>
      </c>
    </row>
    <row r="537" spans="2:24" ht="110.25">
      <c r="B537" s="295"/>
      <c r="C537" s="295"/>
      <c r="D537" s="292"/>
      <c r="E537" s="19" t="s">
        <v>550</v>
      </c>
      <c r="F537" s="76"/>
      <c r="G537" s="99"/>
      <c r="H537" s="224"/>
      <c r="I537" s="255">
        <v>3131</v>
      </c>
      <c r="J537" s="9">
        <v>8294.87</v>
      </c>
      <c r="K537" s="49"/>
      <c r="L537" s="9">
        <v>8294.87</v>
      </c>
      <c r="M537" s="49"/>
      <c r="N537" s="49"/>
      <c r="O537" s="49"/>
      <c r="P537" s="49"/>
      <c r="Q537" s="49"/>
      <c r="R537" s="49"/>
      <c r="S537" s="49"/>
      <c r="T537" s="49"/>
      <c r="U537" s="49"/>
      <c r="V537" s="49"/>
      <c r="W537" s="9">
        <v>8294.87</v>
      </c>
      <c r="X537" s="40">
        <f t="shared" si="50"/>
        <v>0</v>
      </c>
    </row>
    <row r="538" spans="2:24" ht="78.75">
      <c r="B538" s="295"/>
      <c r="C538" s="295"/>
      <c r="D538" s="292"/>
      <c r="E538" s="28" t="s">
        <v>858</v>
      </c>
      <c r="F538" s="76"/>
      <c r="G538" s="99"/>
      <c r="H538" s="224"/>
      <c r="I538" s="255">
        <v>3131</v>
      </c>
      <c r="J538" s="9">
        <v>33519.58</v>
      </c>
      <c r="K538" s="49"/>
      <c r="L538" s="9">
        <v>33519.58</v>
      </c>
      <c r="M538" s="49"/>
      <c r="N538" s="49"/>
      <c r="O538" s="49"/>
      <c r="P538" s="49"/>
      <c r="Q538" s="49"/>
      <c r="R538" s="49"/>
      <c r="S538" s="49"/>
      <c r="T538" s="49"/>
      <c r="U538" s="49"/>
      <c r="V538" s="49"/>
      <c r="W538" s="9">
        <v>33519.58</v>
      </c>
      <c r="X538" s="40">
        <f t="shared" si="50"/>
        <v>0</v>
      </c>
    </row>
    <row r="539" spans="2:24" ht="78.75">
      <c r="B539" s="295"/>
      <c r="C539" s="295"/>
      <c r="D539" s="292"/>
      <c r="E539" s="28" t="s">
        <v>190</v>
      </c>
      <c r="F539" s="76"/>
      <c r="G539" s="99"/>
      <c r="H539" s="224"/>
      <c r="I539" s="255">
        <v>3131</v>
      </c>
      <c r="J539" s="9">
        <v>472572.32</v>
      </c>
      <c r="K539" s="49"/>
      <c r="L539" s="9">
        <v>472572.32</v>
      </c>
      <c r="M539" s="49"/>
      <c r="N539" s="49"/>
      <c r="O539" s="49"/>
      <c r="P539" s="49"/>
      <c r="Q539" s="49"/>
      <c r="R539" s="49"/>
      <c r="S539" s="49"/>
      <c r="T539" s="49"/>
      <c r="U539" s="49"/>
      <c r="V539" s="49"/>
      <c r="W539" s="9">
        <v>472572.32</v>
      </c>
      <c r="X539" s="40">
        <f t="shared" si="50"/>
        <v>0</v>
      </c>
    </row>
    <row r="540" spans="2:24" ht="63">
      <c r="B540" s="295"/>
      <c r="C540" s="295"/>
      <c r="D540" s="292"/>
      <c r="E540" s="28" t="s">
        <v>287</v>
      </c>
      <c r="F540" s="76"/>
      <c r="G540" s="99"/>
      <c r="H540" s="224"/>
      <c r="I540" s="255">
        <v>3131</v>
      </c>
      <c r="J540" s="9">
        <v>18298.8</v>
      </c>
      <c r="K540" s="49"/>
      <c r="L540" s="9">
        <v>18298.8</v>
      </c>
      <c r="M540" s="49"/>
      <c r="N540" s="49"/>
      <c r="O540" s="49"/>
      <c r="P540" s="49"/>
      <c r="Q540" s="49"/>
      <c r="R540" s="49"/>
      <c r="S540" s="49"/>
      <c r="T540" s="49"/>
      <c r="U540" s="49"/>
      <c r="V540" s="49"/>
      <c r="W540" s="9">
        <v>18298.8</v>
      </c>
      <c r="X540" s="40">
        <f t="shared" si="50"/>
        <v>0</v>
      </c>
    </row>
    <row r="541" spans="2:24" ht="47.25">
      <c r="B541" s="295"/>
      <c r="C541" s="295"/>
      <c r="D541" s="292"/>
      <c r="E541" s="28" t="s">
        <v>266</v>
      </c>
      <c r="F541" s="76"/>
      <c r="G541" s="99"/>
      <c r="H541" s="224"/>
      <c r="I541" s="255">
        <v>3131</v>
      </c>
      <c r="J541" s="9">
        <v>52159.6</v>
      </c>
      <c r="K541" s="49"/>
      <c r="L541" s="9">
        <v>52159.6</v>
      </c>
      <c r="M541" s="49"/>
      <c r="N541" s="49"/>
      <c r="O541" s="49"/>
      <c r="P541" s="49"/>
      <c r="Q541" s="49"/>
      <c r="R541" s="49"/>
      <c r="S541" s="49"/>
      <c r="T541" s="49"/>
      <c r="U541" s="49"/>
      <c r="V541" s="49"/>
      <c r="W541" s="9">
        <v>52159.6</v>
      </c>
      <c r="X541" s="40">
        <f t="shared" si="50"/>
        <v>0</v>
      </c>
    </row>
    <row r="542" spans="2:24" ht="47.25">
      <c r="B542" s="295"/>
      <c r="C542" s="295"/>
      <c r="D542" s="292"/>
      <c r="E542" s="28" t="s">
        <v>370</v>
      </c>
      <c r="F542" s="76"/>
      <c r="G542" s="99"/>
      <c r="H542" s="224"/>
      <c r="I542" s="255">
        <v>3131</v>
      </c>
      <c r="J542" s="9">
        <v>84337.58</v>
      </c>
      <c r="K542" s="49"/>
      <c r="L542" s="9">
        <v>84337.58</v>
      </c>
      <c r="M542" s="49"/>
      <c r="N542" s="49"/>
      <c r="O542" s="49"/>
      <c r="P542" s="49"/>
      <c r="Q542" s="49"/>
      <c r="R542" s="49"/>
      <c r="S542" s="49"/>
      <c r="T542" s="49"/>
      <c r="U542" s="49"/>
      <c r="V542" s="49"/>
      <c r="W542" s="9">
        <v>84337.58</v>
      </c>
      <c r="X542" s="40">
        <f t="shared" si="50"/>
        <v>0</v>
      </c>
    </row>
    <row r="543" spans="2:24" ht="63">
      <c r="B543" s="295"/>
      <c r="C543" s="295"/>
      <c r="D543" s="292"/>
      <c r="E543" s="28" t="s">
        <v>558</v>
      </c>
      <c r="F543" s="76"/>
      <c r="G543" s="99"/>
      <c r="H543" s="224"/>
      <c r="I543" s="255">
        <v>3131</v>
      </c>
      <c r="J543" s="9">
        <v>59704.2</v>
      </c>
      <c r="K543" s="49"/>
      <c r="L543" s="9">
        <v>59704.2</v>
      </c>
      <c r="M543" s="49"/>
      <c r="N543" s="49"/>
      <c r="O543" s="49"/>
      <c r="P543" s="49"/>
      <c r="Q543" s="49"/>
      <c r="R543" s="49"/>
      <c r="S543" s="49"/>
      <c r="T543" s="49"/>
      <c r="U543" s="49"/>
      <c r="V543" s="49"/>
      <c r="W543" s="9">
        <v>59704.2</v>
      </c>
      <c r="X543" s="40">
        <f t="shared" si="50"/>
        <v>0</v>
      </c>
    </row>
    <row r="544" spans="2:24" ht="47.25">
      <c r="B544" s="295"/>
      <c r="C544" s="295"/>
      <c r="D544" s="292"/>
      <c r="E544" s="28" t="s">
        <v>13</v>
      </c>
      <c r="F544" s="76"/>
      <c r="G544" s="99"/>
      <c r="H544" s="224"/>
      <c r="I544" s="255">
        <v>3131</v>
      </c>
      <c r="J544" s="9">
        <v>199207.81</v>
      </c>
      <c r="K544" s="49"/>
      <c r="L544" s="9">
        <v>199207.81</v>
      </c>
      <c r="M544" s="49"/>
      <c r="N544" s="49"/>
      <c r="O544" s="49"/>
      <c r="P544" s="49"/>
      <c r="Q544" s="49"/>
      <c r="R544" s="49"/>
      <c r="S544" s="49"/>
      <c r="T544" s="49"/>
      <c r="U544" s="49"/>
      <c r="V544" s="49"/>
      <c r="W544" s="9">
        <v>199207.81</v>
      </c>
      <c r="X544" s="40">
        <f t="shared" si="50"/>
        <v>0</v>
      </c>
    </row>
    <row r="545" spans="2:24" ht="47.25">
      <c r="B545" s="295"/>
      <c r="C545" s="295"/>
      <c r="D545" s="292"/>
      <c r="E545" s="28" t="s">
        <v>52</v>
      </c>
      <c r="F545" s="76"/>
      <c r="G545" s="99"/>
      <c r="H545" s="224"/>
      <c r="I545" s="255">
        <v>3131</v>
      </c>
      <c r="J545" s="9">
        <v>180742.27</v>
      </c>
      <c r="K545" s="49"/>
      <c r="L545" s="9">
        <v>180742.27</v>
      </c>
      <c r="M545" s="49"/>
      <c r="N545" s="49"/>
      <c r="O545" s="49"/>
      <c r="P545" s="49"/>
      <c r="Q545" s="49"/>
      <c r="R545" s="49"/>
      <c r="S545" s="49"/>
      <c r="T545" s="49"/>
      <c r="U545" s="49"/>
      <c r="V545" s="49"/>
      <c r="W545" s="9">
        <v>180742.27</v>
      </c>
      <c r="X545" s="40">
        <f t="shared" si="50"/>
        <v>0</v>
      </c>
    </row>
    <row r="546" spans="2:24" ht="157.5">
      <c r="B546" s="295"/>
      <c r="C546" s="295"/>
      <c r="D546" s="292"/>
      <c r="E546" s="105" t="s">
        <v>193</v>
      </c>
      <c r="F546" s="76"/>
      <c r="G546" s="99"/>
      <c r="H546" s="224"/>
      <c r="I546" s="255">
        <v>3131</v>
      </c>
      <c r="J546" s="9">
        <f>10164200-1126087</f>
        <v>9038113</v>
      </c>
      <c r="K546" s="49"/>
      <c r="L546" s="49"/>
      <c r="M546" s="49"/>
      <c r="N546" s="49"/>
      <c r="O546" s="49">
        <v>2022682.39</v>
      </c>
      <c r="P546" s="49">
        <v>1750992.5</v>
      </c>
      <c r="Q546" s="49">
        <v>1317416.84</v>
      </c>
      <c r="R546" s="49">
        <v>1296533.75</v>
      </c>
      <c r="S546" s="49">
        <f>1074578.75-479108</f>
        <v>595470.75</v>
      </c>
      <c r="T546" s="49">
        <f>1013174.25-355324</f>
        <v>657850.25</v>
      </c>
      <c r="U546" s="49">
        <f>706349.52-145827</f>
        <v>560522.52</v>
      </c>
      <c r="V546" s="49">
        <f>982472-145828</f>
        <v>836644</v>
      </c>
      <c r="W546" s="49">
        <f>98532+75072+7774.8+20214+6333.6+426782.42+6478+903421.49+11470.8+153872.01+12488+796503.81+18852+2613.6+205562.4+3116.4+27112.4+57500.54+92178.72+13617+176449.92+152632.89+809655.96+88364+52066.8+382291.64+140679.32+8245+913315.69+4816.96+201851.04+176212.35+560214.3+54336+247706+9935</f>
        <v>6918268.86</v>
      </c>
      <c r="X546" s="40">
        <f t="shared" si="50"/>
        <v>722677.6199999992</v>
      </c>
    </row>
    <row r="547" spans="2:24" ht="78.75">
      <c r="B547" s="295"/>
      <c r="C547" s="295"/>
      <c r="D547" s="292"/>
      <c r="E547" s="10" t="s">
        <v>554</v>
      </c>
      <c r="F547" s="106"/>
      <c r="G547" s="106"/>
      <c r="H547" s="227"/>
      <c r="I547" s="255">
        <v>3131</v>
      </c>
      <c r="J547" s="49">
        <v>549979.68</v>
      </c>
      <c r="K547" s="49"/>
      <c r="L547" s="49"/>
      <c r="M547" s="49">
        <v>549979.68</v>
      </c>
      <c r="N547" s="49"/>
      <c r="O547" s="49"/>
      <c r="P547" s="49"/>
      <c r="Q547" s="49"/>
      <c r="R547" s="49"/>
      <c r="S547" s="49"/>
      <c r="T547" s="49"/>
      <c r="U547" s="49"/>
      <c r="V547" s="49"/>
      <c r="W547" s="9">
        <v>549979.68</v>
      </c>
      <c r="X547" s="40">
        <f aca="true" t="shared" si="63" ref="X547:X610">K547+L547+M547+N547+O547+P547+Q547+R547+S547+T547-W547</f>
        <v>0</v>
      </c>
    </row>
    <row r="548" spans="2:24" ht="31.5">
      <c r="B548" s="295"/>
      <c r="C548" s="295"/>
      <c r="D548" s="292"/>
      <c r="E548" s="10" t="s">
        <v>555</v>
      </c>
      <c r="F548" s="106"/>
      <c r="G548" s="107"/>
      <c r="H548" s="228"/>
      <c r="I548" s="255">
        <v>3131</v>
      </c>
      <c r="J548" s="21">
        <v>130000</v>
      </c>
      <c r="K548" s="49"/>
      <c r="L548" s="49"/>
      <c r="M548" s="49"/>
      <c r="N548" s="49"/>
      <c r="O548" s="49">
        <v>50000</v>
      </c>
      <c r="P548" s="49">
        <v>80000</v>
      </c>
      <c r="Q548" s="49"/>
      <c r="R548" s="49"/>
      <c r="S548" s="49"/>
      <c r="T548" s="49"/>
      <c r="U548" s="49"/>
      <c r="V548" s="49"/>
      <c r="W548" s="49">
        <f>33458.4+30310.8</f>
        <v>63769.2</v>
      </c>
      <c r="X548" s="40">
        <f t="shared" si="63"/>
        <v>66230.8</v>
      </c>
    </row>
    <row r="549" spans="2:24" ht="31.5">
      <c r="B549" s="295"/>
      <c r="C549" s="295"/>
      <c r="D549" s="292"/>
      <c r="E549" s="108" t="s">
        <v>751</v>
      </c>
      <c r="F549" s="106"/>
      <c r="G549" s="107"/>
      <c r="H549" s="228"/>
      <c r="I549" s="255">
        <v>3131</v>
      </c>
      <c r="J549" s="21">
        <v>184000</v>
      </c>
      <c r="K549" s="49"/>
      <c r="L549" s="49"/>
      <c r="M549" s="49"/>
      <c r="N549" s="49"/>
      <c r="O549" s="49"/>
      <c r="P549" s="49"/>
      <c r="Q549" s="49"/>
      <c r="R549" s="49">
        <v>184000</v>
      </c>
      <c r="S549" s="49"/>
      <c r="T549" s="49"/>
      <c r="U549" s="49"/>
      <c r="V549" s="49"/>
      <c r="W549" s="49"/>
      <c r="X549" s="40">
        <f t="shared" si="63"/>
        <v>184000</v>
      </c>
    </row>
    <row r="550" spans="2:24" ht="47.25">
      <c r="B550" s="295"/>
      <c r="C550" s="295"/>
      <c r="D550" s="292"/>
      <c r="E550" s="108" t="s">
        <v>526</v>
      </c>
      <c r="F550" s="106"/>
      <c r="G550" s="107"/>
      <c r="H550" s="228"/>
      <c r="I550" s="255">
        <v>3131</v>
      </c>
      <c r="J550" s="21">
        <v>183120</v>
      </c>
      <c r="K550" s="49"/>
      <c r="L550" s="49"/>
      <c r="M550" s="49"/>
      <c r="N550" s="49"/>
      <c r="O550" s="49"/>
      <c r="P550" s="49"/>
      <c r="Q550" s="49"/>
      <c r="R550" s="49"/>
      <c r="S550" s="49">
        <v>183120</v>
      </c>
      <c r="T550" s="49"/>
      <c r="U550" s="49"/>
      <c r="V550" s="49"/>
      <c r="W550" s="49">
        <v>126311.16</v>
      </c>
      <c r="X550" s="40">
        <f t="shared" si="63"/>
        <v>56808.84</v>
      </c>
    </row>
    <row r="551" spans="2:24" ht="47.25">
      <c r="B551" s="295"/>
      <c r="C551" s="295"/>
      <c r="D551" s="292"/>
      <c r="E551" s="108" t="s">
        <v>527</v>
      </c>
      <c r="F551" s="106"/>
      <c r="G551" s="107"/>
      <c r="H551" s="228"/>
      <c r="I551" s="255">
        <v>3131</v>
      </c>
      <c r="J551" s="21">
        <v>166880</v>
      </c>
      <c r="K551" s="49"/>
      <c r="L551" s="49"/>
      <c r="M551" s="49"/>
      <c r="N551" s="49"/>
      <c r="O551" s="49"/>
      <c r="P551" s="49"/>
      <c r="Q551" s="49"/>
      <c r="R551" s="49"/>
      <c r="S551" s="49">
        <v>166880</v>
      </c>
      <c r="T551" s="49"/>
      <c r="U551" s="49"/>
      <c r="V551" s="49"/>
      <c r="W551" s="49">
        <v>115168.56</v>
      </c>
      <c r="X551" s="40">
        <f t="shared" si="63"/>
        <v>51711.44</v>
      </c>
    </row>
    <row r="552" spans="2:24" ht="47.25">
      <c r="B552" s="295"/>
      <c r="C552" s="295"/>
      <c r="D552" s="292"/>
      <c r="E552" s="108" t="s">
        <v>556</v>
      </c>
      <c r="F552" s="106"/>
      <c r="G552" s="107"/>
      <c r="H552" s="228"/>
      <c r="I552" s="255">
        <v>3131</v>
      </c>
      <c r="J552" s="21">
        <f>30000+40171</f>
        <v>70171</v>
      </c>
      <c r="K552" s="49"/>
      <c r="L552" s="49"/>
      <c r="M552" s="49"/>
      <c r="N552" s="49"/>
      <c r="O552" s="49"/>
      <c r="P552" s="49"/>
      <c r="Q552" s="49">
        <v>30000</v>
      </c>
      <c r="R552" s="49"/>
      <c r="S552" s="49">
        <v>40171</v>
      </c>
      <c r="T552" s="49"/>
      <c r="U552" s="49"/>
      <c r="V552" s="49"/>
      <c r="W552" s="49"/>
      <c r="X552" s="40">
        <f t="shared" si="63"/>
        <v>70171</v>
      </c>
    </row>
    <row r="553" spans="2:24" ht="15.75">
      <c r="B553" s="308" t="s">
        <v>846</v>
      </c>
      <c r="C553" s="308" t="s">
        <v>240</v>
      </c>
      <c r="D553" s="303" t="s">
        <v>38</v>
      </c>
      <c r="E553" s="28"/>
      <c r="F553" s="76"/>
      <c r="G553" s="99"/>
      <c r="H553" s="224"/>
      <c r="I553" s="255"/>
      <c r="J553" s="210">
        <f>SUM(J554:J555)</f>
        <v>3999537.25</v>
      </c>
      <c r="K553" s="210">
        <f aca="true" t="shared" si="64" ref="K553:W553">SUM(K554:K555)</f>
        <v>0</v>
      </c>
      <c r="L553" s="210">
        <f t="shared" si="64"/>
        <v>0</v>
      </c>
      <c r="M553" s="210">
        <f t="shared" si="64"/>
        <v>0</v>
      </c>
      <c r="N553" s="210">
        <f t="shared" si="64"/>
        <v>0</v>
      </c>
      <c r="O553" s="210">
        <f t="shared" si="64"/>
        <v>1069537.25</v>
      </c>
      <c r="P553" s="210">
        <f t="shared" si="64"/>
        <v>500000</v>
      </c>
      <c r="Q553" s="210">
        <f t="shared" si="64"/>
        <v>500000</v>
      </c>
      <c r="R553" s="210">
        <f t="shared" si="64"/>
        <v>500000</v>
      </c>
      <c r="S553" s="210">
        <f t="shared" si="64"/>
        <v>1450000</v>
      </c>
      <c r="T553" s="210">
        <f t="shared" si="64"/>
        <v>-20000</v>
      </c>
      <c r="U553" s="210">
        <f t="shared" si="64"/>
        <v>0</v>
      </c>
      <c r="V553" s="210">
        <f t="shared" si="64"/>
        <v>0</v>
      </c>
      <c r="W553" s="210">
        <f t="shared" si="64"/>
        <v>1968683.48</v>
      </c>
      <c r="X553" s="184">
        <f t="shared" si="63"/>
        <v>2030853.77</v>
      </c>
    </row>
    <row r="554" spans="2:24" ht="94.5">
      <c r="B554" s="325"/>
      <c r="C554" s="325"/>
      <c r="D554" s="303"/>
      <c r="E554" s="12" t="s">
        <v>703</v>
      </c>
      <c r="F554" s="76"/>
      <c r="G554" s="99"/>
      <c r="H554" s="224"/>
      <c r="I554" s="251" t="s">
        <v>835</v>
      </c>
      <c r="J554" s="21">
        <f>1500000+1000000-3791.32-50000+1000000-20000</f>
        <v>3426208.68</v>
      </c>
      <c r="K554" s="49"/>
      <c r="L554" s="49"/>
      <c r="M554" s="49"/>
      <c r="N554" s="49"/>
      <c r="O554" s="49">
        <v>500000</v>
      </c>
      <c r="P554" s="49">
        <v>500000</v>
      </c>
      <c r="Q554" s="49">
        <v>500000</v>
      </c>
      <c r="R554" s="49">
        <f>500000-3791.32</f>
        <v>496208.68</v>
      </c>
      <c r="S554" s="49">
        <f>500000-50000+1000000</f>
        <v>1450000</v>
      </c>
      <c r="T554" s="49">
        <v>-20000</v>
      </c>
      <c r="U554" s="49"/>
      <c r="V554" s="49"/>
      <c r="W554" s="49">
        <f>14592.89+7454.93+38024.16+49998.22+7501.31+34084+634248.6+140153+170670.5+162796.8+67956+67874.5</f>
        <v>1395354.91</v>
      </c>
      <c r="X554" s="40">
        <f t="shared" si="63"/>
        <v>2030853.7699999998</v>
      </c>
    </row>
    <row r="555" spans="2:24" ht="31.5">
      <c r="B555" s="309"/>
      <c r="C555" s="309"/>
      <c r="D555" s="303"/>
      <c r="E555" s="12" t="s">
        <v>49</v>
      </c>
      <c r="F555" s="76"/>
      <c r="G555" s="99"/>
      <c r="H555" s="224"/>
      <c r="I555" s="255">
        <v>3210</v>
      </c>
      <c r="J555" s="21">
        <f>569537.25+3791.32</f>
        <v>573328.57</v>
      </c>
      <c r="K555" s="49"/>
      <c r="L555" s="49"/>
      <c r="M555" s="49"/>
      <c r="N555" s="49"/>
      <c r="O555" s="49">
        <v>569537.25</v>
      </c>
      <c r="P555" s="49"/>
      <c r="Q555" s="49"/>
      <c r="R555" s="49">
        <f>3791.32</f>
        <v>3791.32</v>
      </c>
      <c r="S555" s="49"/>
      <c r="T555" s="49"/>
      <c r="U555" s="49"/>
      <c r="V555" s="49"/>
      <c r="W555" s="49">
        <f>569536.57+3792</f>
        <v>573328.57</v>
      </c>
      <c r="X555" s="40">
        <f t="shared" si="63"/>
        <v>0</v>
      </c>
    </row>
    <row r="556" spans="2:24" ht="15.75">
      <c r="B556" s="301" t="s">
        <v>698</v>
      </c>
      <c r="C556" s="301" t="s">
        <v>699</v>
      </c>
      <c r="D556" s="304" t="s">
        <v>420</v>
      </c>
      <c r="E556" s="28"/>
      <c r="F556" s="76"/>
      <c r="G556" s="99"/>
      <c r="H556" s="224"/>
      <c r="I556" s="255"/>
      <c r="J556" s="210">
        <f>SUM(J557:J575)</f>
        <v>6383314.26</v>
      </c>
      <c r="K556" s="210">
        <f aca="true" t="shared" si="65" ref="K556:W556">SUM(K557:K575)</f>
        <v>0</v>
      </c>
      <c r="L556" s="210">
        <f t="shared" si="65"/>
        <v>185354.47999999998</v>
      </c>
      <c r="M556" s="210">
        <f t="shared" si="65"/>
        <v>0</v>
      </c>
      <c r="N556" s="210">
        <f t="shared" si="65"/>
        <v>0</v>
      </c>
      <c r="O556" s="210">
        <f t="shared" si="65"/>
        <v>513320.11</v>
      </c>
      <c r="P556" s="210">
        <f t="shared" si="65"/>
        <v>460952</v>
      </c>
      <c r="Q556" s="210">
        <f t="shared" si="65"/>
        <v>1200000</v>
      </c>
      <c r="R556" s="210">
        <f t="shared" si="65"/>
        <v>1561295.7799999998</v>
      </c>
      <c r="S556" s="210">
        <f t="shared" si="65"/>
        <v>677104.21</v>
      </c>
      <c r="T556" s="210">
        <f t="shared" si="65"/>
        <v>384795</v>
      </c>
      <c r="U556" s="210">
        <f t="shared" si="65"/>
        <v>1254664.68</v>
      </c>
      <c r="V556" s="210">
        <f t="shared" si="65"/>
        <v>145828</v>
      </c>
      <c r="W556" s="210">
        <f t="shared" si="65"/>
        <v>2239571.75</v>
      </c>
      <c r="X556" s="184">
        <f t="shared" si="63"/>
        <v>2743249.83</v>
      </c>
    </row>
    <row r="557" spans="2:24" ht="94.5">
      <c r="B557" s="295"/>
      <c r="C557" s="295"/>
      <c r="D557" s="292"/>
      <c r="E557" s="28" t="s">
        <v>585</v>
      </c>
      <c r="F557" s="14">
        <v>200000</v>
      </c>
      <c r="G557" s="18">
        <f>100%-((F557-H557)/F557)</f>
        <v>1</v>
      </c>
      <c r="H557" s="229">
        <v>200000</v>
      </c>
      <c r="I557" s="257">
        <v>3142</v>
      </c>
      <c r="J557" s="9">
        <v>6141.31</v>
      </c>
      <c r="K557" s="49"/>
      <c r="L557" s="9">
        <v>6141.31</v>
      </c>
      <c r="M557" s="49"/>
      <c r="N557" s="49"/>
      <c r="O557" s="49"/>
      <c r="P557" s="49"/>
      <c r="Q557" s="49"/>
      <c r="R557" s="49"/>
      <c r="S557" s="49"/>
      <c r="T557" s="49"/>
      <c r="U557" s="49"/>
      <c r="V557" s="49"/>
      <c r="W557" s="9">
        <v>6141.31</v>
      </c>
      <c r="X557" s="40">
        <f t="shared" si="63"/>
        <v>0</v>
      </c>
    </row>
    <row r="558" spans="2:24" ht="63">
      <c r="B558" s="295"/>
      <c r="C558" s="295"/>
      <c r="D558" s="292"/>
      <c r="E558" s="12" t="s">
        <v>334</v>
      </c>
      <c r="F558" s="14">
        <v>3200000</v>
      </c>
      <c r="G558" s="18">
        <f>100%-((F558-H558)/F558)</f>
        <v>1</v>
      </c>
      <c r="H558" s="229">
        <v>3200000</v>
      </c>
      <c r="I558" s="257">
        <v>3142</v>
      </c>
      <c r="J558" s="9">
        <v>37961.83</v>
      </c>
      <c r="K558" s="49"/>
      <c r="L558" s="9">
        <v>37961.83</v>
      </c>
      <c r="M558" s="49"/>
      <c r="N558" s="49"/>
      <c r="O558" s="49"/>
      <c r="P558" s="49"/>
      <c r="Q558" s="49"/>
      <c r="R558" s="49"/>
      <c r="S558" s="49"/>
      <c r="T558" s="49"/>
      <c r="U558" s="49"/>
      <c r="V558" s="49"/>
      <c r="W558" s="9">
        <v>37961.83</v>
      </c>
      <c r="X558" s="40">
        <f t="shared" si="63"/>
        <v>0</v>
      </c>
    </row>
    <row r="559" spans="2:24" ht="78.75">
      <c r="B559" s="295"/>
      <c r="C559" s="295"/>
      <c r="D559" s="292"/>
      <c r="E559" s="29" t="s">
        <v>335</v>
      </c>
      <c r="F559" s="14">
        <v>975710</v>
      </c>
      <c r="G559" s="18">
        <f>100%-((F559-H559)/F559)</f>
        <v>0.325250228039069</v>
      </c>
      <c r="H559" s="229">
        <v>317349.9</v>
      </c>
      <c r="I559" s="257">
        <v>3142</v>
      </c>
      <c r="J559" s="9">
        <v>141251.34</v>
      </c>
      <c r="K559" s="49"/>
      <c r="L559" s="9">
        <v>141251.34</v>
      </c>
      <c r="M559" s="49"/>
      <c r="N559" s="49"/>
      <c r="O559" s="49"/>
      <c r="P559" s="49"/>
      <c r="Q559" s="49"/>
      <c r="R559" s="49"/>
      <c r="S559" s="49"/>
      <c r="T559" s="49"/>
      <c r="U559" s="49"/>
      <c r="V559" s="49"/>
      <c r="W559" s="9">
        <v>141251.34</v>
      </c>
      <c r="X559" s="40">
        <f t="shared" si="63"/>
        <v>0</v>
      </c>
    </row>
    <row r="560" spans="2:24" ht="63">
      <c r="B560" s="295"/>
      <c r="C560" s="295"/>
      <c r="D560" s="292"/>
      <c r="E560" s="10" t="s">
        <v>428</v>
      </c>
      <c r="F560" s="106"/>
      <c r="G560" s="106"/>
      <c r="H560" s="227"/>
      <c r="I560" s="257">
        <v>3142</v>
      </c>
      <c r="J560" s="21">
        <f>234829+181834</f>
        <v>416663</v>
      </c>
      <c r="K560" s="49"/>
      <c r="L560" s="49"/>
      <c r="M560" s="49"/>
      <c r="N560" s="49"/>
      <c r="O560" s="49">
        <v>134829</v>
      </c>
      <c r="P560" s="49">
        <f>100000-11000</f>
        <v>89000</v>
      </c>
      <c r="Q560" s="49">
        <v>11000</v>
      </c>
      <c r="R560" s="49"/>
      <c r="S560" s="49"/>
      <c r="T560" s="49">
        <v>60611</v>
      </c>
      <c r="U560" s="49">
        <v>60611</v>
      </c>
      <c r="V560" s="49">
        <v>60612</v>
      </c>
      <c r="W560" s="49">
        <v>285835</v>
      </c>
      <c r="X560" s="40">
        <f t="shared" si="63"/>
        <v>9605</v>
      </c>
    </row>
    <row r="561" spans="2:24" ht="63">
      <c r="B561" s="295"/>
      <c r="C561" s="295"/>
      <c r="D561" s="292"/>
      <c r="E561" s="10" t="s">
        <v>427</v>
      </c>
      <c r="F561" s="106"/>
      <c r="G561" s="106"/>
      <c r="H561" s="227"/>
      <c r="I561" s="257">
        <v>3142</v>
      </c>
      <c r="J561" s="21">
        <f>81270+255648</f>
        <v>336918</v>
      </c>
      <c r="K561" s="49"/>
      <c r="L561" s="49"/>
      <c r="M561" s="49"/>
      <c r="N561" s="49"/>
      <c r="O561" s="49">
        <v>81270</v>
      </c>
      <c r="P561" s="49"/>
      <c r="Q561" s="49"/>
      <c r="R561" s="49"/>
      <c r="S561" s="49"/>
      <c r="T561" s="49">
        <v>85216</v>
      </c>
      <c r="U561" s="49">
        <v>85216</v>
      </c>
      <c r="V561" s="49">
        <v>85216</v>
      </c>
      <c r="W561" s="49">
        <v>165000</v>
      </c>
      <c r="X561" s="40">
        <f t="shared" si="63"/>
        <v>1486</v>
      </c>
    </row>
    <row r="562" spans="2:24" ht="31.5">
      <c r="B562" s="295"/>
      <c r="C562" s="295"/>
      <c r="D562" s="292"/>
      <c r="E562" s="52" t="s">
        <v>220</v>
      </c>
      <c r="F562" s="106"/>
      <c r="G562" s="106"/>
      <c r="H562" s="227"/>
      <c r="I562" s="257">
        <v>3142</v>
      </c>
      <c r="J562" s="21">
        <f>90000+25000</f>
        <v>115000</v>
      </c>
      <c r="K562" s="49"/>
      <c r="L562" s="49"/>
      <c r="M562" s="49"/>
      <c r="N562" s="49"/>
      <c r="O562" s="49"/>
      <c r="P562" s="49">
        <v>5652</v>
      </c>
      <c r="Q562" s="49"/>
      <c r="R562" s="49">
        <v>40000</v>
      </c>
      <c r="S562" s="49">
        <f>44348+25000</f>
        <v>69348</v>
      </c>
      <c r="T562" s="49"/>
      <c r="U562" s="49"/>
      <c r="V562" s="49"/>
      <c r="W562" s="49"/>
      <c r="X562" s="40">
        <f t="shared" si="63"/>
        <v>115000</v>
      </c>
    </row>
    <row r="563" spans="2:24" ht="78.75">
      <c r="B563" s="295"/>
      <c r="C563" s="295"/>
      <c r="D563" s="292"/>
      <c r="E563" s="10" t="s">
        <v>617</v>
      </c>
      <c r="F563" s="106"/>
      <c r="G563" s="107"/>
      <c r="H563" s="228"/>
      <c r="I563" s="257">
        <v>3142</v>
      </c>
      <c r="J563" s="21">
        <v>200000</v>
      </c>
      <c r="K563" s="49"/>
      <c r="L563" s="49"/>
      <c r="M563" s="49"/>
      <c r="N563" s="49"/>
      <c r="O563" s="49"/>
      <c r="P563" s="49">
        <v>11000</v>
      </c>
      <c r="Q563" s="49">
        <f>200000-11000</f>
        <v>189000</v>
      </c>
      <c r="R563" s="49"/>
      <c r="S563" s="49"/>
      <c r="T563" s="49"/>
      <c r="U563" s="49"/>
      <c r="V563" s="49"/>
      <c r="W563" s="49">
        <v>10603.07</v>
      </c>
      <c r="X563" s="40">
        <f t="shared" si="63"/>
        <v>189396.93</v>
      </c>
    </row>
    <row r="564" spans="2:24" ht="78.75">
      <c r="B564" s="295"/>
      <c r="C564" s="295"/>
      <c r="D564" s="292"/>
      <c r="E564" s="10" t="s">
        <v>792</v>
      </c>
      <c r="F564" s="109"/>
      <c r="G564" s="106"/>
      <c r="H564" s="230"/>
      <c r="I564" s="257">
        <v>3122</v>
      </c>
      <c r="J564" s="21">
        <v>49000</v>
      </c>
      <c r="K564" s="49"/>
      <c r="L564" s="49"/>
      <c r="M564" s="49"/>
      <c r="N564" s="49"/>
      <c r="O564" s="49">
        <v>25000</v>
      </c>
      <c r="P564" s="49">
        <v>24000</v>
      </c>
      <c r="Q564" s="49"/>
      <c r="R564" s="49"/>
      <c r="S564" s="49"/>
      <c r="T564" s="49"/>
      <c r="U564" s="49"/>
      <c r="V564" s="49"/>
      <c r="W564" s="49"/>
      <c r="X564" s="40">
        <f t="shared" si="63"/>
        <v>49000</v>
      </c>
    </row>
    <row r="565" spans="2:24" ht="78.75">
      <c r="B565" s="295"/>
      <c r="C565" s="295"/>
      <c r="D565" s="292"/>
      <c r="E565" s="10" t="s">
        <v>793</v>
      </c>
      <c r="F565" s="109"/>
      <c r="G565" s="106"/>
      <c r="H565" s="230"/>
      <c r="I565" s="257">
        <v>3122</v>
      </c>
      <c r="J565" s="21">
        <f>56300+78968</f>
        <v>135268</v>
      </c>
      <c r="K565" s="49"/>
      <c r="L565" s="49"/>
      <c r="M565" s="49"/>
      <c r="N565" s="49"/>
      <c r="O565" s="49">
        <v>25000</v>
      </c>
      <c r="P565" s="49">
        <v>31300</v>
      </c>
      <c r="Q565" s="49"/>
      <c r="R565" s="49"/>
      <c r="T565" s="49">
        <v>78968</v>
      </c>
      <c r="U565" s="49"/>
      <c r="V565" s="49"/>
      <c r="W565" s="49">
        <f>14385+57839</f>
        <v>72224</v>
      </c>
      <c r="X565" s="40">
        <f t="shared" si="63"/>
        <v>63044</v>
      </c>
    </row>
    <row r="566" spans="2:24" ht="63">
      <c r="B566" s="295"/>
      <c r="C566" s="295"/>
      <c r="D566" s="292"/>
      <c r="E566" s="110" t="s">
        <v>775</v>
      </c>
      <c r="F566" s="109"/>
      <c r="G566" s="106"/>
      <c r="H566" s="230"/>
      <c r="I566" s="257">
        <v>3122</v>
      </c>
      <c r="J566" s="21">
        <f>227800-2753</f>
        <v>225047</v>
      </c>
      <c r="K566" s="49"/>
      <c r="L566" s="49"/>
      <c r="M566" s="49"/>
      <c r="N566" s="49"/>
      <c r="O566" s="49">
        <v>27800</v>
      </c>
      <c r="P566" s="49">
        <v>100000</v>
      </c>
      <c r="Q566" s="49">
        <v>100000</v>
      </c>
      <c r="R566" s="49"/>
      <c r="S566" s="49">
        <v>-2753</v>
      </c>
      <c r="T566" s="49"/>
      <c r="U566" s="49"/>
      <c r="V566" s="49"/>
      <c r="W566" s="49">
        <f>13885+101508+101508</f>
        <v>216901</v>
      </c>
      <c r="X566" s="40">
        <f t="shared" si="63"/>
        <v>8146</v>
      </c>
    </row>
    <row r="567" spans="2:24" ht="78.75">
      <c r="B567" s="295"/>
      <c r="C567" s="295"/>
      <c r="D567" s="292"/>
      <c r="E567" s="10" t="s">
        <v>723</v>
      </c>
      <c r="F567" s="109"/>
      <c r="G567" s="106"/>
      <c r="H567" s="230"/>
      <c r="I567" s="257">
        <v>3122</v>
      </c>
      <c r="J567" s="21">
        <f>350000-39223</f>
        <v>310777</v>
      </c>
      <c r="K567" s="49"/>
      <c r="L567" s="49"/>
      <c r="M567" s="49"/>
      <c r="N567" s="49"/>
      <c r="O567" s="49">
        <v>50000</v>
      </c>
      <c r="P567" s="49">
        <v>100000</v>
      </c>
      <c r="Q567" s="49">
        <v>100000</v>
      </c>
      <c r="R567" s="49">
        <v>100000</v>
      </c>
      <c r="S567" s="49">
        <v>-39223</v>
      </c>
      <c r="T567" s="49"/>
      <c r="U567" s="49"/>
      <c r="V567" s="49"/>
      <c r="W567" s="49">
        <f>21885+139800+139801.2</f>
        <v>301486.2</v>
      </c>
      <c r="X567" s="40">
        <f t="shared" si="63"/>
        <v>9290.799999999988</v>
      </c>
    </row>
    <row r="568" spans="2:24" ht="31.5">
      <c r="B568" s="295"/>
      <c r="C568" s="295"/>
      <c r="D568" s="292"/>
      <c r="E568" s="108" t="s">
        <v>429</v>
      </c>
      <c r="F568" s="109"/>
      <c r="G568" s="106"/>
      <c r="H568" s="230"/>
      <c r="I568" s="257">
        <v>3142</v>
      </c>
      <c r="J568" s="21">
        <v>200000</v>
      </c>
      <c r="K568" s="49"/>
      <c r="L568" s="49"/>
      <c r="M568" s="49"/>
      <c r="N568" s="49"/>
      <c r="O568" s="49">
        <v>50000</v>
      </c>
      <c r="P568" s="49"/>
      <c r="Q568" s="49"/>
      <c r="R568" s="49"/>
      <c r="S568" s="49">
        <v>50000</v>
      </c>
      <c r="T568" s="49">
        <v>100000</v>
      </c>
      <c r="U568" s="49"/>
      <c r="V568" s="49"/>
      <c r="W568" s="49">
        <v>35000</v>
      </c>
      <c r="X568" s="40">
        <f t="shared" si="63"/>
        <v>165000</v>
      </c>
    </row>
    <row r="569" spans="2:24" ht="47.25">
      <c r="B569" s="295"/>
      <c r="C569" s="295"/>
      <c r="D569" s="292"/>
      <c r="E569" s="108" t="s">
        <v>724</v>
      </c>
      <c r="F569" s="109"/>
      <c r="G569" s="109"/>
      <c r="H569" s="230"/>
      <c r="I569" s="257">
        <v>3122</v>
      </c>
      <c r="J569" s="21">
        <v>3000000</v>
      </c>
      <c r="K569" s="203"/>
      <c r="L569" s="203"/>
      <c r="M569" s="203"/>
      <c r="N569" s="203"/>
      <c r="O569" s="203">
        <v>119421.11</v>
      </c>
      <c r="P569" s="49">
        <v>100000</v>
      </c>
      <c r="Q569" s="203">
        <f>600000+300000-100000</f>
        <v>800000</v>
      </c>
      <c r="R569" s="203">
        <f>600000+1120846.68-299550.9</f>
        <v>1421295.7799999998</v>
      </c>
      <c r="S569" s="203">
        <v>159732.21</v>
      </c>
      <c r="T569" s="203"/>
      <c r="U569" s="203">
        <v>399550.9</v>
      </c>
      <c r="V569" s="203"/>
      <c r="W569" s="49">
        <v>825768</v>
      </c>
      <c r="X569" s="40">
        <f t="shared" si="63"/>
        <v>1774681.0999999996</v>
      </c>
    </row>
    <row r="570" spans="2:24" ht="47.25">
      <c r="B570" s="295"/>
      <c r="C570" s="295"/>
      <c r="D570" s="292"/>
      <c r="E570" s="12" t="s">
        <v>725</v>
      </c>
      <c r="F570" s="109"/>
      <c r="G570" s="111"/>
      <c r="H570" s="230"/>
      <c r="I570" s="257">
        <v>3122</v>
      </c>
      <c r="J570" s="21">
        <v>150000</v>
      </c>
      <c r="K570" s="49"/>
      <c r="L570" s="49"/>
      <c r="M570" s="49"/>
      <c r="N570" s="49"/>
      <c r="O570" s="49"/>
      <c r="P570" s="49"/>
      <c r="Q570" s="49"/>
      <c r="R570" s="49"/>
      <c r="S570" s="49"/>
      <c r="T570" s="49"/>
      <c r="U570" s="49">
        <v>150000</v>
      </c>
      <c r="V570" s="49"/>
      <c r="W570" s="49"/>
      <c r="X570" s="40">
        <f t="shared" si="63"/>
        <v>0</v>
      </c>
    </row>
    <row r="571" spans="2:24" ht="47.25">
      <c r="B571" s="295"/>
      <c r="C571" s="295"/>
      <c r="D571" s="292"/>
      <c r="E571" s="12" t="s">
        <v>726</v>
      </c>
      <c r="F571" s="109"/>
      <c r="G571" s="111"/>
      <c r="H571" s="230"/>
      <c r="I571" s="257">
        <v>3122</v>
      </c>
      <c r="J571" s="21">
        <v>419722</v>
      </c>
      <c r="K571" s="49"/>
      <c r="L571" s="49"/>
      <c r="M571" s="49"/>
      <c r="N571" s="49"/>
      <c r="O571" s="49"/>
      <c r="P571" s="49"/>
      <c r="Q571" s="49"/>
      <c r="R571" s="49"/>
      <c r="S571" s="49"/>
      <c r="T571" s="49"/>
      <c r="U571" s="49">
        <v>419722</v>
      </c>
      <c r="V571" s="49"/>
      <c r="W571" s="49"/>
      <c r="X571" s="40">
        <f t="shared" si="63"/>
        <v>0</v>
      </c>
    </row>
    <row r="572" spans="2:24" ht="63">
      <c r="B572" s="295"/>
      <c r="C572" s="295"/>
      <c r="D572" s="292"/>
      <c r="E572" s="12" t="s">
        <v>727</v>
      </c>
      <c r="F572" s="109"/>
      <c r="G572" s="111"/>
      <c r="H572" s="230"/>
      <c r="I572" s="257">
        <v>3122</v>
      </c>
      <c r="J572" s="21">
        <v>42318.81</v>
      </c>
      <c r="K572" s="49"/>
      <c r="L572" s="49"/>
      <c r="M572" s="49"/>
      <c r="N572" s="49"/>
      <c r="O572" s="49"/>
      <c r="P572" s="49"/>
      <c r="Q572" s="49"/>
      <c r="R572" s="49"/>
      <c r="S572" s="49"/>
      <c r="T572" s="49"/>
      <c r="U572" s="49">
        <v>42318.81</v>
      </c>
      <c r="V572" s="49"/>
      <c r="W572" s="49"/>
      <c r="X572" s="40">
        <f t="shared" si="63"/>
        <v>0</v>
      </c>
    </row>
    <row r="573" spans="2:24" ht="63">
      <c r="B573" s="295"/>
      <c r="C573" s="295"/>
      <c r="D573" s="292"/>
      <c r="E573" s="12" t="s">
        <v>222</v>
      </c>
      <c r="F573" s="109"/>
      <c r="G573" s="111"/>
      <c r="H573" s="230"/>
      <c r="I573" s="257">
        <v>3122</v>
      </c>
      <c r="J573" s="21">
        <f>100000+100000</f>
        <v>200000</v>
      </c>
      <c r="K573" s="49"/>
      <c r="L573" s="49"/>
      <c r="M573" s="49"/>
      <c r="N573" s="49"/>
      <c r="O573" s="49"/>
      <c r="P573" s="49"/>
      <c r="Q573" s="49"/>
      <c r="R573" s="49"/>
      <c r="S573" s="49">
        <f>40000+100000</f>
        <v>140000</v>
      </c>
      <c r="T573" s="49">
        <v>60000</v>
      </c>
      <c r="U573" s="49"/>
      <c r="V573" s="49"/>
      <c r="W573" s="49">
        <f>14400+127000</f>
        <v>141400</v>
      </c>
      <c r="X573" s="40">
        <f t="shared" si="63"/>
        <v>58600</v>
      </c>
    </row>
    <row r="574" spans="2:24" ht="78.75">
      <c r="B574" s="295"/>
      <c r="C574" s="295"/>
      <c r="D574" s="292"/>
      <c r="E574" s="12" t="s">
        <v>140</v>
      </c>
      <c r="F574" s="109"/>
      <c r="G574" s="111"/>
      <c r="H574" s="230"/>
      <c r="I574" s="257">
        <v>3142</v>
      </c>
      <c r="J574" s="21">
        <v>300000</v>
      </c>
      <c r="K574" s="49"/>
      <c r="L574" s="49"/>
      <c r="M574" s="49"/>
      <c r="N574" s="49"/>
      <c r="O574" s="49"/>
      <c r="P574" s="49"/>
      <c r="Q574" s="49"/>
      <c r="R574" s="49"/>
      <c r="S574" s="49">
        <v>300000</v>
      </c>
      <c r="T574" s="49"/>
      <c r="U574" s="49"/>
      <c r="V574" s="49"/>
      <c r="W574" s="49"/>
      <c r="X574" s="40">
        <f t="shared" si="63"/>
        <v>300000</v>
      </c>
    </row>
    <row r="575" spans="2:24" ht="94.5">
      <c r="B575" s="302"/>
      <c r="C575" s="302"/>
      <c r="D575" s="305"/>
      <c r="E575" s="10" t="s">
        <v>31</v>
      </c>
      <c r="F575" s="109"/>
      <c r="G575" s="111"/>
      <c r="H575" s="230"/>
      <c r="I575" s="257">
        <v>3142</v>
      </c>
      <c r="J575" s="112">
        <v>97245.97</v>
      </c>
      <c r="K575" s="49"/>
      <c r="L575" s="49"/>
      <c r="M575" s="49"/>
      <c r="N575" s="49"/>
      <c r="O575" s="49"/>
      <c r="P575" s="49"/>
      <c r="Q575" s="49"/>
      <c r="R575" s="49"/>
      <c r="S575" s="49"/>
      <c r="T575" s="49"/>
      <c r="U575" s="49">
        <v>97245.97</v>
      </c>
      <c r="V575" s="49"/>
      <c r="W575" s="49"/>
      <c r="X575" s="40">
        <f t="shared" si="63"/>
        <v>0</v>
      </c>
    </row>
    <row r="576" spans="2:24" ht="15.75">
      <c r="B576" s="308" t="s">
        <v>708</v>
      </c>
      <c r="C576" s="308" t="s">
        <v>709</v>
      </c>
      <c r="D576" s="304" t="s">
        <v>120</v>
      </c>
      <c r="E576" s="29"/>
      <c r="F576" s="14"/>
      <c r="G576" s="18"/>
      <c r="H576" s="229"/>
      <c r="I576" s="257"/>
      <c r="J576" s="210">
        <f>J577+J578</f>
        <v>32048234.95</v>
      </c>
      <c r="K576" s="210">
        <f aca="true" t="shared" si="66" ref="K576:W576">K577+K578</f>
        <v>0</v>
      </c>
      <c r="L576" s="210">
        <f t="shared" si="66"/>
        <v>0</v>
      </c>
      <c r="M576" s="210">
        <f t="shared" si="66"/>
        <v>0</v>
      </c>
      <c r="N576" s="210">
        <f t="shared" si="66"/>
        <v>0</v>
      </c>
      <c r="O576" s="210">
        <f t="shared" si="66"/>
        <v>0</v>
      </c>
      <c r="P576" s="210">
        <f t="shared" si="66"/>
        <v>0</v>
      </c>
      <c r="Q576" s="210">
        <f t="shared" si="66"/>
        <v>0</v>
      </c>
      <c r="R576" s="210">
        <f t="shared" si="66"/>
        <v>16016000</v>
      </c>
      <c r="S576" s="210">
        <f t="shared" si="66"/>
        <v>16032234.95</v>
      </c>
      <c r="T576" s="210">
        <f t="shared" si="66"/>
        <v>0</v>
      </c>
      <c r="U576" s="210">
        <f t="shared" si="66"/>
        <v>0</v>
      </c>
      <c r="V576" s="210">
        <f t="shared" si="66"/>
        <v>0</v>
      </c>
      <c r="W576" s="210">
        <f t="shared" si="66"/>
        <v>9612000</v>
      </c>
      <c r="X576" s="184">
        <f t="shared" si="63"/>
        <v>22436234.95</v>
      </c>
    </row>
    <row r="577" spans="2:24" ht="31.5">
      <c r="B577" s="325"/>
      <c r="C577" s="325"/>
      <c r="D577" s="292"/>
      <c r="E577" s="105" t="s">
        <v>32</v>
      </c>
      <c r="F577" s="113"/>
      <c r="G577" s="114"/>
      <c r="H577" s="228"/>
      <c r="I577" s="250">
        <v>3110</v>
      </c>
      <c r="J577" s="21">
        <f>32687234.95+95000-734000</f>
        <v>32048234.95</v>
      </c>
      <c r="K577" s="49"/>
      <c r="L577" s="49"/>
      <c r="M577" s="49"/>
      <c r="N577" s="49"/>
      <c r="O577" s="49"/>
      <c r="P577" s="49"/>
      <c r="Q577" s="49"/>
      <c r="R577" s="49">
        <f>16200000-184000</f>
        <v>16016000</v>
      </c>
      <c r="S577" s="49">
        <f>16582234.95-550000</f>
        <v>16032234.95</v>
      </c>
      <c r="T577" s="49"/>
      <c r="U577" s="49"/>
      <c r="V577" s="49"/>
      <c r="W577" s="49">
        <v>9612000</v>
      </c>
      <c r="X577" s="40">
        <f t="shared" si="63"/>
        <v>22436234.95</v>
      </c>
    </row>
    <row r="578" spans="2:24" ht="15.75" hidden="1">
      <c r="B578" s="309"/>
      <c r="C578" s="309"/>
      <c r="D578" s="305"/>
      <c r="E578" s="105" t="s">
        <v>33</v>
      </c>
      <c r="F578" s="113"/>
      <c r="G578" s="114"/>
      <c r="H578" s="228"/>
      <c r="I578" s="250">
        <v>3110</v>
      </c>
      <c r="J578" s="21">
        <f>400000-400000</f>
        <v>0</v>
      </c>
      <c r="K578" s="49"/>
      <c r="L578" s="49"/>
      <c r="M578" s="49"/>
      <c r="N578" s="49"/>
      <c r="O578" s="49"/>
      <c r="P578" s="49"/>
      <c r="Q578" s="49"/>
      <c r="R578" s="49">
        <f>400000-400000</f>
        <v>0</v>
      </c>
      <c r="S578" s="49"/>
      <c r="T578" s="49"/>
      <c r="U578" s="49"/>
      <c r="V578" s="49"/>
      <c r="W578" s="49"/>
      <c r="X578" s="40">
        <f t="shared" si="63"/>
        <v>0</v>
      </c>
    </row>
    <row r="579" spans="2:24" ht="15.75">
      <c r="B579" s="301" t="s">
        <v>336</v>
      </c>
      <c r="C579" s="301" t="s">
        <v>818</v>
      </c>
      <c r="D579" s="304" t="s">
        <v>337</v>
      </c>
      <c r="E579" s="29"/>
      <c r="F579" s="76"/>
      <c r="G579" s="18"/>
      <c r="H579" s="224"/>
      <c r="I579" s="255"/>
      <c r="J579" s="210">
        <f>SUM(J580:J608)</f>
        <v>22793010.71</v>
      </c>
      <c r="K579" s="210">
        <f aca="true" t="shared" si="67" ref="K579:W579">SUM(K580:K608)</f>
        <v>0</v>
      </c>
      <c r="L579" s="210">
        <f t="shared" si="67"/>
        <v>1236888.87</v>
      </c>
      <c r="M579" s="210">
        <f>SUM(M580:M608)</f>
        <v>0</v>
      </c>
      <c r="N579" s="210">
        <f t="shared" si="67"/>
        <v>0</v>
      </c>
      <c r="O579" s="210">
        <f t="shared" si="67"/>
        <v>3130000</v>
      </c>
      <c r="P579" s="210">
        <f t="shared" si="67"/>
        <v>950000</v>
      </c>
      <c r="Q579" s="210">
        <f t="shared" si="67"/>
        <v>3350000</v>
      </c>
      <c r="R579" s="210">
        <f t="shared" si="67"/>
        <v>3076000</v>
      </c>
      <c r="S579" s="210">
        <f t="shared" si="67"/>
        <v>8401180.79</v>
      </c>
      <c r="T579" s="210">
        <f t="shared" si="67"/>
        <v>1624941.0499999998</v>
      </c>
      <c r="U579" s="210">
        <f t="shared" si="67"/>
        <v>600000</v>
      </c>
      <c r="V579" s="210">
        <f t="shared" si="67"/>
        <v>424000</v>
      </c>
      <c r="W579" s="210">
        <f t="shared" si="67"/>
        <v>7169532.79</v>
      </c>
      <c r="X579" s="184">
        <f t="shared" si="63"/>
        <v>14599477.920000002</v>
      </c>
    </row>
    <row r="580" spans="2:24" ht="31.5">
      <c r="B580" s="295"/>
      <c r="C580" s="295"/>
      <c r="D580" s="292"/>
      <c r="E580" s="29" t="s">
        <v>213</v>
      </c>
      <c r="F580" s="30">
        <v>1173052</v>
      </c>
      <c r="G580" s="18">
        <f>100%-((F580-H580)/F580)</f>
        <v>0.7</v>
      </c>
      <c r="H580" s="229">
        <v>821136.4</v>
      </c>
      <c r="I580" s="257">
        <v>3132</v>
      </c>
      <c r="J580" s="9">
        <v>745220.14</v>
      </c>
      <c r="K580" s="49"/>
      <c r="L580" s="9">
        <v>745220.14</v>
      </c>
      <c r="M580" s="49"/>
      <c r="N580" s="49"/>
      <c r="O580" s="49"/>
      <c r="P580" s="49"/>
      <c r="Q580" s="49"/>
      <c r="R580" s="49"/>
      <c r="S580" s="49"/>
      <c r="T580" s="49"/>
      <c r="U580" s="49"/>
      <c r="V580" s="49"/>
      <c r="W580" s="49">
        <v>745220.14</v>
      </c>
      <c r="X580" s="40">
        <f t="shared" si="63"/>
        <v>0</v>
      </c>
    </row>
    <row r="581" spans="2:24" ht="63">
      <c r="B581" s="295"/>
      <c r="C581" s="295"/>
      <c r="D581" s="292"/>
      <c r="E581" s="12" t="s">
        <v>890</v>
      </c>
      <c r="F581" s="30"/>
      <c r="G581" s="18"/>
      <c r="H581" s="229"/>
      <c r="I581" s="257">
        <v>3132</v>
      </c>
      <c r="J581" s="9">
        <v>44077.15</v>
      </c>
      <c r="K581" s="49"/>
      <c r="L581" s="9">
        <v>44077.15</v>
      </c>
      <c r="M581" s="49"/>
      <c r="N581" s="49"/>
      <c r="O581" s="49"/>
      <c r="P581" s="49"/>
      <c r="Q581" s="49"/>
      <c r="R581" s="49"/>
      <c r="S581" s="49"/>
      <c r="T581" s="49"/>
      <c r="U581" s="49"/>
      <c r="V581" s="49"/>
      <c r="W581" s="49">
        <v>44077.15</v>
      </c>
      <c r="X581" s="40">
        <f t="shared" si="63"/>
        <v>0</v>
      </c>
    </row>
    <row r="582" spans="2:24" ht="47.25">
      <c r="B582" s="295"/>
      <c r="C582" s="295"/>
      <c r="D582" s="292"/>
      <c r="E582" s="12" t="s">
        <v>891</v>
      </c>
      <c r="F582" s="30"/>
      <c r="G582" s="18"/>
      <c r="H582" s="229"/>
      <c r="I582" s="257">
        <v>3132</v>
      </c>
      <c r="J582" s="9">
        <v>156953.04</v>
      </c>
      <c r="K582" s="49"/>
      <c r="L582" s="9">
        <v>156953.04</v>
      </c>
      <c r="M582" s="49"/>
      <c r="N582" s="49"/>
      <c r="O582" s="49"/>
      <c r="P582" s="49"/>
      <c r="Q582" s="49"/>
      <c r="R582" s="49"/>
      <c r="S582" s="49"/>
      <c r="T582" s="49"/>
      <c r="U582" s="49"/>
      <c r="V582" s="49"/>
      <c r="W582" s="49">
        <v>156953.04</v>
      </c>
      <c r="X582" s="40">
        <f t="shared" si="63"/>
        <v>0</v>
      </c>
    </row>
    <row r="583" spans="2:24" ht="47.25">
      <c r="B583" s="295"/>
      <c r="C583" s="295"/>
      <c r="D583" s="292"/>
      <c r="E583" s="12" t="s">
        <v>223</v>
      </c>
      <c r="F583" s="30"/>
      <c r="G583" s="18"/>
      <c r="H583" s="229"/>
      <c r="I583" s="257">
        <v>3132</v>
      </c>
      <c r="J583" s="9">
        <v>11559.33</v>
      </c>
      <c r="K583" s="49"/>
      <c r="L583" s="9">
        <v>11559.33</v>
      </c>
      <c r="M583" s="49"/>
      <c r="N583" s="49"/>
      <c r="O583" s="49"/>
      <c r="P583" s="49"/>
      <c r="Q583" s="49"/>
      <c r="R583" s="49"/>
      <c r="S583" s="49"/>
      <c r="T583" s="49"/>
      <c r="U583" s="49"/>
      <c r="V583" s="49"/>
      <c r="W583" s="49">
        <v>11559.33</v>
      </c>
      <c r="X583" s="40">
        <f t="shared" si="63"/>
        <v>0</v>
      </c>
    </row>
    <row r="584" spans="2:24" ht="47.25">
      <c r="B584" s="295"/>
      <c r="C584" s="295"/>
      <c r="D584" s="292"/>
      <c r="E584" s="12" t="s">
        <v>224</v>
      </c>
      <c r="F584" s="30"/>
      <c r="G584" s="18"/>
      <c r="H584" s="229"/>
      <c r="I584" s="257">
        <v>3122</v>
      </c>
      <c r="J584" s="9">
        <v>279079.21</v>
      </c>
      <c r="K584" s="49"/>
      <c r="L584" s="9">
        <v>279079.21</v>
      </c>
      <c r="M584" s="49"/>
      <c r="N584" s="49"/>
      <c r="O584" s="49"/>
      <c r="P584" s="49"/>
      <c r="Q584" s="49"/>
      <c r="R584" s="49"/>
      <c r="S584" s="49"/>
      <c r="T584" s="49"/>
      <c r="U584" s="49"/>
      <c r="V584" s="49"/>
      <c r="W584" s="49">
        <v>279079.21</v>
      </c>
      <c r="X584" s="40">
        <f t="shared" si="63"/>
        <v>0</v>
      </c>
    </row>
    <row r="585" spans="2:24" ht="15.75">
      <c r="B585" s="295"/>
      <c r="C585" s="295"/>
      <c r="D585" s="292"/>
      <c r="E585" s="328" t="s">
        <v>644</v>
      </c>
      <c r="F585" s="30"/>
      <c r="G585" s="18"/>
      <c r="H585" s="229"/>
      <c r="I585" s="342">
        <v>3142</v>
      </c>
      <c r="J585" s="263">
        <f>8909732.21</f>
        <v>8909732.21</v>
      </c>
      <c r="K585" s="264"/>
      <c r="L585" s="264">
        <f>49421.11-49421.11</f>
        <v>0</v>
      </c>
      <c r="M585" s="264">
        <f>600000-600000</f>
        <v>0</v>
      </c>
      <c r="N585" s="264">
        <f>600000-600000</f>
        <v>0</v>
      </c>
      <c r="O585" s="264">
        <f>600000-600000+100000</f>
        <v>100000</v>
      </c>
      <c r="P585" s="264">
        <f>600000-600000</f>
        <v>0</v>
      </c>
      <c r="Q585" s="264">
        <f>600000-600000+3000000</f>
        <v>3000000</v>
      </c>
      <c r="R585" s="264">
        <f>600000-600000+2300000</f>
        <v>2300000</v>
      </c>
      <c r="S585" s="264">
        <f>600000-600000+2300000</f>
        <v>2300000</v>
      </c>
      <c r="T585" s="264">
        <f>600000-109732.21+1209732.21-490267.79</f>
        <v>1209732.21</v>
      </c>
      <c r="U585" s="264"/>
      <c r="V585" s="264"/>
      <c r="W585" s="264">
        <v>91583</v>
      </c>
      <c r="X585" s="40">
        <f t="shared" si="63"/>
        <v>8818149.21</v>
      </c>
    </row>
    <row r="586" spans="2:24" ht="15.75">
      <c r="B586" s="295"/>
      <c r="C586" s="295"/>
      <c r="D586" s="292"/>
      <c r="E586" s="329"/>
      <c r="F586" s="30"/>
      <c r="G586" s="18"/>
      <c r="H586" s="229"/>
      <c r="I586" s="343"/>
      <c r="J586" s="9">
        <f>10000000-8909732.21</f>
        <v>1090267.789999999</v>
      </c>
      <c r="K586" s="49"/>
      <c r="L586" s="49"/>
      <c r="M586" s="49"/>
      <c r="N586" s="49"/>
      <c r="O586" s="49"/>
      <c r="P586" s="49"/>
      <c r="Q586" s="49"/>
      <c r="R586" s="49"/>
      <c r="S586" s="49"/>
      <c r="T586" s="49">
        <f>490267.79-294320.16</f>
        <v>195947.63</v>
      </c>
      <c r="U586" s="49">
        <v>600000</v>
      </c>
      <c r="V586" s="49">
        <v>294320.16</v>
      </c>
      <c r="W586" s="49"/>
      <c r="X586" s="40">
        <f t="shared" si="63"/>
        <v>195947.63</v>
      </c>
    </row>
    <row r="587" spans="2:24" ht="47.25">
      <c r="B587" s="295"/>
      <c r="C587" s="295"/>
      <c r="D587" s="292"/>
      <c r="E587" s="12" t="s">
        <v>642</v>
      </c>
      <c r="F587" s="109"/>
      <c r="G587" s="111"/>
      <c r="H587" s="230"/>
      <c r="I587" s="257">
        <v>3132</v>
      </c>
      <c r="J587" s="21">
        <v>100000</v>
      </c>
      <c r="K587" s="203"/>
      <c r="L587" s="203"/>
      <c r="M587" s="203"/>
      <c r="N587" s="203"/>
      <c r="O587" s="203">
        <v>100000</v>
      </c>
      <c r="P587" s="203"/>
      <c r="Q587" s="203"/>
      <c r="R587" s="203"/>
      <c r="S587" s="203"/>
      <c r="T587" s="203"/>
      <c r="U587" s="203"/>
      <c r="V587" s="203"/>
      <c r="W587" s="49"/>
      <c r="X587" s="40">
        <f t="shared" si="63"/>
        <v>100000</v>
      </c>
    </row>
    <row r="588" spans="2:24" ht="47.25">
      <c r="B588" s="295"/>
      <c r="C588" s="295"/>
      <c r="D588" s="292"/>
      <c r="E588" s="12" t="s">
        <v>643</v>
      </c>
      <c r="F588" s="109"/>
      <c r="G588" s="111"/>
      <c r="H588" s="230"/>
      <c r="I588" s="257">
        <v>3132</v>
      </c>
      <c r="J588" s="21">
        <f>450000-4087</f>
        <v>445913</v>
      </c>
      <c r="K588" s="203"/>
      <c r="L588" s="203"/>
      <c r="M588" s="203"/>
      <c r="N588" s="203"/>
      <c r="O588" s="203">
        <v>450000</v>
      </c>
      <c r="P588" s="203"/>
      <c r="Q588" s="203"/>
      <c r="R588" s="203">
        <f>-200000</f>
        <v>-200000</v>
      </c>
      <c r="S588" s="203">
        <f>200000-4087</f>
        <v>195913</v>
      </c>
      <c r="T588" s="203"/>
      <c r="U588" s="203"/>
      <c r="V588" s="203"/>
      <c r="W588" s="49">
        <f>17000+209206</f>
        <v>226206</v>
      </c>
      <c r="X588" s="40">
        <f t="shared" si="63"/>
        <v>219707</v>
      </c>
    </row>
    <row r="589" spans="2:24" ht="47.25">
      <c r="B589" s="295"/>
      <c r="C589" s="295"/>
      <c r="D589" s="292"/>
      <c r="E589" s="10" t="s">
        <v>769</v>
      </c>
      <c r="F589" s="106"/>
      <c r="G589" s="107"/>
      <c r="H589" s="230"/>
      <c r="I589" s="257">
        <v>3132</v>
      </c>
      <c r="J589" s="21">
        <f>780000+180000</f>
        <v>960000</v>
      </c>
      <c r="K589" s="201"/>
      <c r="L589" s="201"/>
      <c r="M589" s="201"/>
      <c r="N589" s="201"/>
      <c r="O589" s="201">
        <v>780000</v>
      </c>
      <c r="P589" s="201"/>
      <c r="Q589" s="201"/>
      <c r="R589" s="201">
        <f>180000</f>
        <v>180000</v>
      </c>
      <c r="S589" s="201"/>
      <c r="T589" s="201"/>
      <c r="U589" s="201"/>
      <c r="V589" s="201"/>
      <c r="W589" s="49">
        <f>595000+158794+13540.35+82605.77+58288</f>
        <v>908228.12</v>
      </c>
      <c r="X589" s="40">
        <f t="shared" si="63"/>
        <v>51771.880000000005</v>
      </c>
    </row>
    <row r="590" spans="2:24" ht="15.75">
      <c r="B590" s="295"/>
      <c r="C590" s="295"/>
      <c r="D590" s="292"/>
      <c r="E590" s="10" t="s">
        <v>168</v>
      </c>
      <c r="F590" s="109"/>
      <c r="G590" s="111"/>
      <c r="H590" s="230"/>
      <c r="I590" s="257">
        <v>3132</v>
      </c>
      <c r="J590" s="112">
        <v>120000</v>
      </c>
      <c r="K590" s="201"/>
      <c r="L590" s="201"/>
      <c r="M590" s="201"/>
      <c r="N590" s="201"/>
      <c r="O590" s="201">
        <v>120000</v>
      </c>
      <c r="P590" s="201"/>
      <c r="Q590" s="201"/>
      <c r="R590" s="201"/>
      <c r="S590" s="201"/>
      <c r="T590" s="201"/>
      <c r="U590" s="201"/>
      <c r="V590" s="201"/>
      <c r="W590" s="49">
        <f>50657.59+795.88</f>
        <v>51453.469999999994</v>
      </c>
      <c r="X590" s="40">
        <f t="shared" si="63"/>
        <v>68546.53</v>
      </c>
    </row>
    <row r="591" spans="2:24" ht="31.5">
      <c r="B591" s="295"/>
      <c r="C591" s="295"/>
      <c r="D591" s="292"/>
      <c r="E591" s="10" t="s">
        <v>615</v>
      </c>
      <c r="F591" s="109"/>
      <c r="G591" s="111"/>
      <c r="H591" s="230"/>
      <c r="I591" s="257">
        <v>3132</v>
      </c>
      <c r="J591" s="112">
        <f>260000+300000</f>
        <v>560000</v>
      </c>
      <c r="K591" s="203"/>
      <c r="L591" s="203"/>
      <c r="M591" s="203"/>
      <c r="N591" s="203"/>
      <c r="O591" s="203"/>
      <c r="P591" s="203">
        <v>260000</v>
      </c>
      <c r="Q591" s="203"/>
      <c r="R591" s="203"/>
      <c r="S591" s="203">
        <v>300000</v>
      </c>
      <c r="T591" s="203"/>
      <c r="U591" s="203"/>
      <c r="V591" s="203"/>
      <c r="W591" s="49"/>
      <c r="X591" s="40">
        <f t="shared" si="63"/>
        <v>560000</v>
      </c>
    </row>
    <row r="592" spans="2:24" ht="31.5">
      <c r="B592" s="295"/>
      <c r="C592" s="295"/>
      <c r="D592" s="292"/>
      <c r="E592" s="10" t="s">
        <v>616</v>
      </c>
      <c r="F592" s="109"/>
      <c r="G592" s="111"/>
      <c r="H592" s="230"/>
      <c r="I592" s="257">
        <v>3132</v>
      </c>
      <c r="J592" s="112">
        <v>50000</v>
      </c>
      <c r="K592" s="203"/>
      <c r="L592" s="203"/>
      <c r="M592" s="203"/>
      <c r="N592" s="203"/>
      <c r="O592" s="203">
        <v>50000</v>
      </c>
      <c r="P592" s="203"/>
      <c r="Q592" s="203"/>
      <c r="R592" s="203"/>
      <c r="S592" s="203"/>
      <c r="T592" s="203"/>
      <c r="U592" s="203"/>
      <c r="V592" s="203"/>
      <c r="W592" s="49"/>
      <c r="X592" s="40">
        <f t="shared" si="63"/>
        <v>50000</v>
      </c>
    </row>
    <row r="593" spans="2:24" ht="31.5">
      <c r="B593" s="295"/>
      <c r="C593" s="295"/>
      <c r="D593" s="292"/>
      <c r="E593" s="10" t="s">
        <v>778</v>
      </c>
      <c r="F593" s="109"/>
      <c r="G593" s="111"/>
      <c r="H593" s="230"/>
      <c r="I593" s="257">
        <v>3132</v>
      </c>
      <c r="J593" s="112">
        <f>1100000+115000</f>
        <v>1215000</v>
      </c>
      <c r="K593" s="201"/>
      <c r="L593" s="201"/>
      <c r="M593" s="201"/>
      <c r="N593" s="201"/>
      <c r="O593" s="201">
        <v>400000</v>
      </c>
      <c r="P593" s="201">
        <v>350000</v>
      </c>
      <c r="Q593" s="201">
        <v>350000</v>
      </c>
      <c r="R593" s="201"/>
      <c r="S593" s="201"/>
      <c r="T593" s="201">
        <v>115000</v>
      </c>
      <c r="U593" s="201"/>
      <c r="V593" s="201"/>
      <c r="W593" s="49">
        <f>734925.13+339393+18811.97+220+110967+2000+1995.49</f>
        <v>1208312.5899999999</v>
      </c>
      <c r="X593" s="40">
        <f t="shared" si="63"/>
        <v>6687.410000000149</v>
      </c>
    </row>
    <row r="594" spans="2:24" ht="63">
      <c r="B594" s="295"/>
      <c r="C594" s="295"/>
      <c r="D594" s="292"/>
      <c r="E594" s="10" t="s">
        <v>779</v>
      </c>
      <c r="F594" s="109"/>
      <c r="G594" s="111"/>
      <c r="H594" s="230"/>
      <c r="I594" s="257">
        <v>3142</v>
      </c>
      <c r="J594" s="112">
        <f>500000-370320.16</f>
        <v>129679.84000000003</v>
      </c>
      <c r="K594" s="201"/>
      <c r="L594" s="201"/>
      <c r="M594" s="201"/>
      <c r="N594" s="201"/>
      <c r="O594" s="201"/>
      <c r="P594" s="201"/>
      <c r="Q594" s="201"/>
      <c r="R594" s="201">
        <v>76000</v>
      </c>
      <c r="S594" s="201"/>
      <c r="T594" s="201">
        <f>294320.16-370320.16</f>
        <v>-76000</v>
      </c>
      <c r="U594" s="201"/>
      <c r="V594" s="201">
        <f>424000-294320.16</f>
        <v>129679.84000000003</v>
      </c>
      <c r="W594" s="49"/>
      <c r="X594" s="40">
        <f t="shared" si="63"/>
        <v>0</v>
      </c>
    </row>
    <row r="595" spans="2:24" ht="63" hidden="1">
      <c r="B595" s="295"/>
      <c r="C595" s="295"/>
      <c r="D595" s="292"/>
      <c r="E595" s="10" t="s">
        <v>797</v>
      </c>
      <c r="F595" s="109"/>
      <c r="G595" s="111"/>
      <c r="H595" s="230"/>
      <c r="I595" s="257">
        <v>3132</v>
      </c>
      <c r="J595" s="112">
        <f>40000-40000</f>
        <v>0</v>
      </c>
      <c r="K595" s="203"/>
      <c r="L595" s="203"/>
      <c r="M595" s="203"/>
      <c r="N595" s="203"/>
      <c r="O595" s="203">
        <v>10000</v>
      </c>
      <c r="P595" s="203">
        <v>30000</v>
      </c>
      <c r="Q595" s="203"/>
      <c r="R595" s="203"/>
      <c r="S595" s="203">
        <v>-40000</v>
      </c>
      <c r="T595" s="203"/>
      <c r="U595" s="203"/>
      <c r="V595" s="203"/>
      <c r="W595" s="49"/>
      <c r="X595" s="40">
        <f t="shared" si="63"/>
        <v>0</v>
      </c>
    </row>
    <row r="596" spans="2:24" ht="63">
      <c r="B596" s="295"/>
      <c r="C596" s="295"/>
      <c r="D596" s="292"/>
      <c r="E596" s="10" t="s">
        <v>219</v>
      </c>
      <c r="F596" s="109"/>
      <c r="G596" s="111"/>
      <c r="H596" s="230"/>
      <c r="I596" s="257">
        <v>3132</v>
      </c>
      <c r="J596" s="112">
        <f>60000+70529</f>
        <v>130529</v>
      </c>
      <c r="K596" s="203"/>
      <c r="L596" s="203"/>
      <c r="M596" s="203"/>
      <c r="N596" s="203"/>
      <c r="O596" s="203">
        <v>15000</v>
      </c>
      <c r="P596" s="203">
        <v>45000</v>
      </c>
      <c r="Q596" s="203"/>
      <c r="R596" s="203"/>
      <c r="S596" s="203"/>
      <c r="T596" s="203">
        <v>70529</v>
      </c>
      <c r="U596" s="203"/>
      <c r="V596" s="203"/>
      <c r="W596" s="49">
        <f>74843</f>
        <v>74843</v>
      </c>
      <c r="X596" s="40">
        <f t="shared" si="63"/>
        <v>55686</v>
      </c>
    </row>
    <row r="597" spans="2:24" ht="63">
      <c r="B597" s="295"/>
      <c r="C597" s="295"/>
      <c r="D597" s="292"/>
      <c r="E597" s="10" t="s">
        <v>15</v>
      </c>
      <c r="F597" s="109"/>
      <c r="G597" s="111"/>
      <c r="H597" s="230"/>
      <c r="I597" s="257">
        <v>3132</v>
      </c>
      <c r="J597" s="112">
        <f>300000+130000</f>
        <v>430000</v>
      </c>
      <c r="K597" s="203"/>
      <c r="L597" s="203"/>
      <c r="M597" s="203"/>
      <c r="N597" s="203"/>
      <c r="O597" s="203">
        <v>35000</v>
      </c>
      <c r="P597" s="203">
        <v>265000</v>
      </c>
      <c r="Q597" s="203"/>
      <c r="R597" s="203"/>
      <c r="S597" s="203">
        <v>130000</v>
      </c>
      <c r="T597" s="203"/>
      <c r="U597" s="203"/>
      <c r="V597" s="203"/>
      <c r="W597" s="49">
        <f>10833.73+240000</f>
        <v>250833.73</v>
      </c>
      <c r="X597" s="40">
        <f t="shared" si="63"/>
        <v>179166.27</v>
      </c>
    </row>
    <row r="598" spans="2:24" ht="63">
      <c r="B598" s="295"/>
      <c r="C598" s="295"/>
      <c r="D598" s="292"/>
      <c r="E598" s="52" t="s">
        <v>780</v>
      </c>
      <c r="F598" s="113"/>
      <c r="G598" s="115"/>
      <c r="H598" s="228"/>
      <c r="I598" s="257">
        <v>3132</v>
      </c>
      <c r="J598" s="112">
        <v>650000</v>
      </c>
      <c r="K598" s="203"/>
      <c r="L598" s="203"/>
      <c r="M598" s="203"/>
      <c r="N598" s="203"/>
      <c r="O598" s="203">
        <v>650000</v>
      </c>
      <c r="P598" s="203"/>
      <c r="Q598" s="203"/>
      <c r="R598" s="203">
        <f>-200000</f>
        <v>-200000</v>
      </c>
      <c r="S598" s="203">
        <v>200000</v>
      </c>
      <c r="T598" s="203"/>
      <c r="U598" s="203"/>
      <c r="V598" s="203"/>
      <c r="W598" s="49">
        <f>9702.61+121416+193587.53+819+104876+1924.61</f>
        <v>432325.75</v>
      </c>
      <c r="X598" s="40">
        <f t="shared" si="63"/>
        <v>217674.25</v>
      </c>
    </row>
    <row r="599" spans="2:24" ht="47.25" hidden="1">
      <c r="B599" s="295"/>
      <c r="C599" s="295"/>
      <c r="D599" s="292"/>
      <c r="E599" s="52" t="s">
        <v>798</v>
      </c>
      <c r="F599" s="113"/>
      <c r="G599" s="115"/>
      <c r="H599" s="228"/>
      <c r="I599" s="257">
        <v>3132</v>
      </c>
      <c r="J599" s="21">
        <f>250000-250000</f>
        <v>0</v>
      </c>
      <c r="K599" s="203"/>
      <c r="L599" s="203"/>
      <c r="M599" s="203"/>
      <c r="N599" s="203"/>
      <c r="O599" s="203">
        <v>250000</v>
      </c>
      <c r="P599" s="203"/>
      <c r="Q599" s="203"/>
      <c r="R599" s="203"/>
      <c r="S599" s="203">
        <v>-250000</v>
      </c>
      <c r="T599" s="203"/>
      <c r="U599" s="203"/>
      <c r="V599" s="203"/>
      <c r="W599" s="49"/>
      <c r="X599" s="40">
        <f t="shared" si="63"/>
        <v>0</v>
      </c>
    </row>
    <row r="600" spans="2:24" ht="47.25" hidden="1">
      <c r="B600" s="295"/>
      <c r="C600" s="295"/>
      <c r="D600" s="292"/>
      <c r="E600" s="52" t="s">
        <v>886</v>
      </c>
      <c r="F600" s="113"/>
      <c r="G600" s="115"/>
      <c r="H600" s="228"/>
      <c r="I600" s="257">
        <v>3132</v>
      </c>
      <c r="J600" s="21">
        <f>120000-120000</f>
        <v>0</v>
      </c>
      <c r="K600" s="203"/>
      <c r="L600" s="203"/>
      <c r="M600" s="203"/>
      <c r="N600" s="203"/>
      <c r="O600" s="203">
        <v>120000</v>
      </c>
      <c r="P600" s="203"/>
      <c r="Q600" s="203"/>
      <c r="R600" s="203"/>
      <c r="S600" s="203">
        <v>-120000</v>
      </c>
      <c r="T600" s="203"/>
      <c r="U600" s="203"/>
      <c r="V600" s="203"/>
      <c r="W600" s="49"/>
      <c r="X600" s="40">
        <f t="shared" si="63"/>
        <v>0</v>
      </c>
    </row>
    <row r="601" spans="2:24" ht="48.75" customHeight="1">
      <c r="B601" s="295"/>
      <c r="C601" s="295"/>
      <c r="D601" s="292"/>
      <c r="E601" s="52" t="s">
        <v>34</v>
      </c>
      <c r="F601" s="113"/>
      <c r="G601" s="115"/>
      <c r="H601" s="228"/>
      <c r="I601" s="257">
        <v>3132</v>
      </c>
      <c r="J601" s="21">
        <f>1120000+25000</f>
        <v>1145000</v>
      </c>
      <c r="K601" s="203"/>
      <c r="L601" s="203"/>
      <c r="M601" s="203"/>
      <c r="N601" s="203"/>
      <c r="O601" s="203"/>
      <c r="P601" s="203"/>
      <c r="Q601" s="203"/>
      <c r="R601" s="203">
        <f>520000+400000</f>
        <v>920000</v>
      </c>
      <c r="S601" s="203">
        <f>600000-400000+25000</f>
        <v>225000</v>
      </c>
      <c r="T601" s="203"/>
      <c r="U601" s="203"/>
      <c r="V601" s="203"/>
      <c r="W601" s="49">
        <f>918495.13+80990.45+91699+1666+1607.68</f>
        <v>1094458.26</v>
      </c>
      <c r="X601" s="40">
        <f t="shared" si="63"/>
        <v>50541.73999999999</v>
      </c>
    </row>
    <row r="602" spans="2:24" ht="47.25">
      <c r="B602" s="295"/>
      <c r="C602" s="295"/>
      <c r="D602" s="292"/>
      <c r="E602" s="52" t="s">
        <v>457</v>
      </c>
      <c r="F602" s="113"/>
      <c r="G602" s="115"/>
      <c r="H602" s="228"/>
      <c r="I602" s="257">
        <v>3132</v>
      </c>
      <c r="J602" s="21">
        <v>550000</v>
      </c>
      <c r="K602" s="203"/>
      <c r="L602" s="203"/>
      <c r="M602" s="203"/>
      <c r="N602" s="203"/>
      <c r="O602" s="203"/>
      <c r="P602" s="203"/>
      <c r="Q602" s="203"/>
      <c r="R602" s="203"/>
      <c r="S602" s="21">
        <v>550000</v>
      </c>
      <c r="T602" s="49"/>
      <c r="U602" s="49"/>
      <c r="V602" s="49"/>
      <c r="W602" s="49"/>
      <c r="X602" s="40">
        <f t="shared" si="63"/>
        <v>550000</v>
      </c>
    </row>
    <row r="603" spans="2:24" ht="31.5">
      <c r="B603" s="295"/>
      <c r="C603" s="295"/>
      <c r="D603" s="292"/>
      <c r="E603" s="52" t="s">
        <v>458</v>
      </c>
      <c r="F603" s="113"/>
      <c r="G603" s="115"/>
      <c r="H603" s="228"/>
      <c r="I603" s="257">
        <v>3132</v>
      </c>
      <c r="J603" s="21">
        <v>1300000</v>
      </c>
      <c r="K603" s="203"/>
      <c r="L603" s="203"/>
      <c r="M603" s="203"/>
      <c r="N603" s="203"/>
      <c r="O603" s="203"/>
      <c r="P603" s="203"/>
      <c r="Q603" s="203"/>
      <c r="R603" s="203"/>
      <c r="S603" s="21">
        <v>1300000</v>
      </c>
      <c r="T603" s="49"/>
      <c r="U603" s="49"/>
      <c r="V603" s="49"/>
      <c r="W603" s="49">
        <v>575000</v>
      </c>
      <c r="X603" s="40">
        <f t="shared" si="63"/>
        <v>725000</v>
      </c>
    </row>
    <row r="604" spans="2:24" ht="31.5">
      <c r="B604" s="295"/>
      <c r="C604" s="295"/>
      <c r="D604" s="292"/>
      <c r="E604" s="52" t="s">
        <v>459</v>
      </c>
      <c r="F604" s="113"/>
      <c r="G604" s="115"/>
      <c r="H604" s="228"/>
      <c r="I604" s="257">
        <v>3132</v>
      </c>
      <c r="J604" s="21">
        <v>1200000</v>
      </c>
      <c r="K604" s="203"/>
      <c r="L604" s="203"/>
      <c r="M604" s="203"/>
      <c r="N604" s="203"/>
      <c r="O604" s="203"/>
      <c r="P604" s="203"/>
      <c r="Q604" s="203"/>
      <c r="R604" s="203"/>
      <c r="S604" s="21">
        <v>1200000</v>
      </c>
      <c r="T604" s="49"/>
      <c r="U604" s="49"/>
      <c r="V604" s="49"/>
      <c r="W604" s="49"/>
      <c r="X604" s="40">
        <f t="shared" si="63"/>
        <v>1200000</v>
      </c>
    </row>
    <row r="605" spans="2:24" ht="31.5">
      <c r="B605" s="295"/>
      <c r="C605" s="295"/>
      <c r="D605" s="292"/>
      <c r="E605" s="52" t="s">
        <v>141</v>
      </c>
      <c r="F605" s="113"/>
      <c r="G605" s="115"/>
      <c r="H605" s="228"/>
      <c r="I605" s="257">
        <v>3132</v>
      </c>
      <c r="J605" s="21">
        <v>1200000</v>
      </c>
      <c r="K605" s="203"/>
      <c r="L605" s="203"/>
      <c r="M605" s="203"/>
      <c r="N605" s="203"/>
      <c r="O605" s="203"/>
      <c r="P605" s="203"/>
      <c r="Q605" s="203"/>
      <c r="R605" s="203"/>
      <c r="S605" s="21">
        <v>1200000</v>
      </c>
      <c r="T605" s="49"/>
      <c r="U605" s="49"/>
      <c r="V605" s="49"/>
      <c r="W605" s="49">
        <f>7000+716400</f>
        <v>723400</v>
      </c>
      <c r="X605" s="40">
        <f t="shared" si="63"/>
        <v>476600</v>
      </c>
    </row>
    <row r="606" spans="2:24" ht="47.25">
      <c r="B606" s="295"/>
      <c r="C606" s="295"/>
      <c r="D606" s="292"/>
      <c r="E606" s="52" t="s">
        <v>400</v>
      </c>
      <c r="F606" s="113"/>
      <c r="G606" s="115"/>
      <c r="H606" s="228"/>
      <c r="I606" s="257">
        <v>3132</v>
      </c>
      <c r="J606" s="21">
        <v>400000</v>
      </c>
      <c r="K606" s="203"/>
      <c r="L606" s="203"/>
      <c r="M606" s="203"/>
      <c r="N606" s="203"/>
      <c r="O606" s="203"/>
      <c r="P606" s="203"/>
      <c r="Q606" s="203"/>
      <c r="R606" s="203"/>
      <c r="S606" s="21">
        <v>400000</v>
      </c>
      <c r="T606" s="49"/>
      <c r="U606" s="49"/>
      <c r="V606" s="49"/>
      <c r="W606" s="49">
        <f>17000+279000</f>
        <v>296000</v>
      </c>
      <c r="X606" s="40">
        <f t="shared" si="63"/>
        <v>104000</v>
      </c>
    </row>
    <row r="607" spans="2:24" ht="31.5">
      <c r="B607" s="295"/>
      <c r="C607" s="295"/>
      <c r="D607" s="292"/>
      <c r="E607" s="52" t="s">
        <v>221</v>
      </c>
      <c r="F607" s="113"/>
      <c r="G607" s="115"/>
      <c r="H607" s="228"/>
      <c r="I607" s="257">
        <v>3132</v>
      </c>
      <c r="J607" s="21">
        <v>370000</v>
      </c>
      <c r="K607" s="203"/>
      <c r="L607" s="203"/>
      <c r="M607" s="203"/>
      <c r="N607" s="203"/>
      <c r="O607" s="203"/>
      <c r="P607" s="203"/>
      <c r="Q607" s="203"/>
      <c r="R607" s="203"/>
      <c r="S607" s="49">
        <v>370000</v>
      </c>
      <c r="T607" s="49"/>
      <c r="U607" s="49"/>
      <c r="V607" s="49"/>
      <c r="W607" s="49"/>
      <c r="X607" s="40">
        <f t="shared" si="63"/>
        <v>370000</v>
      </c>
    </row>
    <row r="608" spans="2:24" ht="31.5">
      <c r="B608" s="302"/>
      <c r="C608" s="302"/>
      <c r="D608" s="305"/>
      <c r="E608" s="52" t="s">
        <v>887</v>
      </c>
      <c r="F608" s="113"/>
      <c r="G608" s="115"/>
      <c r="H608" s="228"/>
      <c r="I608" s="257">
        <v>3132</v>
      </c>
      <c r="J608" s="21">
        <v>600000</v>
      </c>
      <c r="K608" s="203"/>
      <c r="L608" s="203"/>
      <c r="M608" s="203"/>
      <c r="N608" s="203"/>
      <c r="O608" s="203">
        <v>50000</v>
      </c>
      <c r="P608" s="203"/>
      <c r="Q608" s="203"/>
      <c r="R608" s="203"/>
      <c r="S608" s="203">
        <v>440267.79</v>
      </c>
      <c r="T608" s="203">
        <v>109732.21</v>
      </c>
      <c r="U608" s="203"/>
      <c r="V608" s="203"/>
      <c r="W608" s="49"/>
      <c r="X608" s="40">
        <f t="shared" si="63"/>
        <v>600000</v>
      </c>
    </row>
    <row r="609" spans="2:24" ht="15.75">
      <c r="B609" s="307" t="s">
        <v>875</v>
      </c>
      <c r="C609" s="307" t="s">
        <v>699</v>
      </c>
      <c r="D609" s="303" t="s">
        <v>326</v>
      </c>
      <c r="E609" s="29"/>
      <c r="F609" s="14"/>
      <c r="G609" s="18"/>
      <c r="H609" s="229"/>
      <c r="I609" s="257"/>
      <c r="J609" s="210">
        <f>J622+J651+J653+J625+J616+J619+J649+J614+J612+J610</f>
        <v>16360718.86</v>
      </c>
      <c r="K609" s="210">
        <f aca="true" t="shared" si="68" ref="K609:W609">K622+K651+K653+K625+K616+K619+K649+K614+K612+K610</f>
        <v>0</v>
      </c>
      <c r="L609" s="210">
        <f t="shared" si="68"/>
        <v>0</v>
      </c>
      <c r="M609" s="210">
        <f t="shared" si="68"/>
        <v>0</v>
      </c>
      <c r="N609" s="210">
        <f t="shared" si="68"/>
        <v>0</v>
      </c>
      <c r="O609" s="210">
        <f t="shared" si="68"/>
        <v>994424.8</v>
      </c>
      <c r="P609" s="210">
        <f t="shared" si="68"/>
        <v>4409759.9</v>
      </c>
      <c r="Q609" s="210">
        <f t="shared" si="68"/>
        <v>2734800</v>
      </c>
      <c r="R609" s="210">
        <f t="shared" si="68"/>
        <v>1877434</v>
      </c>
      <c r="S609" s="210">
        <f t="shared" si="68"/>
        <v>2482205</v>
      </c>
      <c r="T609" s="210">
        <f t="shared" si="68"/>
        <v>1658120.16</v>
      </c>
      <c r="U609" s="210">
        <f t="shared" si="68"/>
        <v>385800</v>
      </c>
      <c r="V609" s="210">
        <f t="shared" si="68"/>
        <v>1818175</v>
      </c>
      <c r="W609" s="210">
        <f t="shared" si="68"/>
        <v>5081153.38</v>
      </c>
      <c r="X609" s="184">
        <f t="shared" si="63"/>
        <v>9075590.48</v>
      </c>
    </row>
    <row r="610" spans="2:24" ht="31.5">
      <c r="B610" s="307"/>
      <c r="C610" s="307"/>
      <c r="D610" s="303"/>
      <c r="E610" s="119" t="s">
        <v>47</v>
      </c>
      <c r="F610" s="14"/>
      <c r="G610" s="18"/>
      <c r="H610" s="229"/>
      <c r="I610" s="257"/>
      <c r="J610" s="26">
        <f>J611</f>
        <v>18754.7</v>
      </c>
      <c r="K610" s="26">
        <f aca="true" t="shared" si="69" ref="K610:W610">K611</f>
        <v>0</v>
      </c>
      <c r="L610" s="26">
        <f t="shared" si="69"/>
        <v>0</v>
      </c>
      <c r="M610" s="26">
        <f t="shared" si="69"/>
        <v>0</v>
      </c>
      <c r="N610" s="26">
        <f t="shared" si="69"/>
        <v>0</v>
      </c>
      <c r="O610" s="26">
        <f t="shared" si="69"/>
        <v>0</v>
      </c>
      <c r="P610" s="26">
        <f t="shared" si="69"/>
        <v>18754.7</v>
      </c>
      <c r="Q610" s="26">
        <f t="shared" si="69"/>
        <v>0</v>
      </c>
      <c r="R610" s="26">
        <f t="shared" si="69"/>
        <v>0</v>
      </c>
      <c r="S610" s="26">
        <f t="shared" si="69"/>
        <v>0</v>
      </c>
      <c r="T610" s="26">
        <f t="shared" si="69"/>
        <v>0</v>
      </c>
      <c r="U610" s="26">
        <f t="shared" si="69"/>
        <v>0</v>
      </c>
      <c r="V610" s="26">
        <f t="shared" si="69"/>
        <v>0</v>
      </c>
      <c r="W610" s="26">
        <f t="shared" si="69"/>
        <v>18754.7</v>
      </c>
      <c r="X610" s="40">
        <f t="shared" si="63"/>
        <v>0</v>
      </c>
    </row>
    <row r="611" spans="2:24" ht="47.25">
      <c r="B611" s="307"/>
      <c r="C611" s="307"/>
      <c r="D611" s="303"/>
      <c r="E611" s="10" t="s">
        <v>48</v>
      </c>
      <c r="F611" s="14"/>
      <c r="G611" s="18"/>
      <c r="H611" s="229"/>
      <c r="I611" s="257">
        <v>3210</v>
      </c>
      <c r="J611" s="9">
        <v>18754.7</v>
      </c>
      <c r="K611" s="9"/>
      <c r="L611" s="9"/>
      <c r="M611" s="9"/>
      <c r="N611" s="9"/>
      <c r="O611" s="9"/>
      <c r="P611" s="9">
        <v>18754.7</v>
      </c>
      <c r="Q611" s="9"/>
      <c r="R611" s="9"/>
      <c r="S611" s="9"/>
      <c r="T611" s="9"/>
      <c r="U611" s="9"/>
      <c r="V611" s="9"/>
      <c r="W611" s="9">
        <v>18754.7</v>
      </c>
      <c r="X611" s="40">
        <f aca="true" t="shared" si="70" ref="X611:X675">K611+L611+M611+N611+O611+P611+Q611+R611+S611+T611-W611</f>
        <v>0</v>
      </c>
    </row>
    <row r="612" spans="2:24" ht="31.5">
      <c r="B612" s="307"/>
      <c r="C612" s="307"/>
      <c r="D612" s="303"/>
      <c r="E612" s="123" t="s">
        <v>752</v>
      </c>
      <c r="F612" s="14"/>
      <c r="G612" s="18"/>
      <c r="H612" s="229"/>
      <c r="I612" s="257"/>
      <c r="J612" s="26">
        <f>J613</f>
        <v>655320.16</v>
      </c>
      <c r="K612" s="26">
        <f aca="true" t="shared" si="71" ref="K612:W612">K613</f>
        <v>0</v>
      </c>
      <c r="L612" s="26">
        <f t="shared" si="71"/>
        <v>0</v>
      </c>
      <c r="M612" s="26">
        <f t="shared" si="71"/>
        <v>0</v>
      </c>
      <c r="N612" s="26">
        <f t="shared" si="71"/>
        <v>0</v>
      </c>
      <c r="O612" s="26">
        <f t="shared" si="71"/>
        <v>0</v>
      </c>
      <c r="P612" s="26">
        <f t="shared" si="71"/>
        <v>0</v>
      </c>
      <c r="Q612" s="26">
        <f t="shared" si="71"/>
        <v>0</v>
      </c>
      <c r="R612" s="26">
        <f t="shared" si="71"/>
        <v>400000</v>
      </c>
      <c r="S612" s="26">
        <f t="shared" si="71"/>
        <v>0</v>
      </c>
      <c r="T612" s="26">
        <f t="shared" si="71"/>
        <v>255320.16</v>
      </c>
      <c r="U612" s="26">
        <f t="shared" si="71"/>
        <v>0</v>
      </c>
      <c r="V612" s="26">
        <f t="shared" si="71"/>
        <v>0</v>
      </c>
      <c r="W612" s="26">
        <f t="shared" si="71"/>
        <v>8520</v>
      </c>
      <c r="X612" s="40">
        <f t="shared" si="70"/>
        <v>646800.16</v>
      </c>
    </row>
    <row r="613" spans="2:24" ht="15.75">
      <c r="B613" s="307"/>
      <c r="C613" s="307"/>
      <c r="D613" s="303"/>
      <c r="E613" s="12" t="s">
        <v>753</v>
      </c>
      <c r="F613" s="14"/>
      <c r="G613" s="18"/>
      <c r="H613" s="229"/>
      <c r="I613" s="257">
        <v>3210</v>
      </c>
      <c r="J613" s="9">
        <f>400000+255320.16</f>
        <v>655320.16</v>
      </c>
      <c r="K613" s="9"/>
      <c r="L613" s="9"/>
      <c r="M613" s="9"/>
      <c r="N613" s="9"/>
      <c r="O613" s="9"/>
      <c r="P613" s="9"/>
      <c r="Q613" s="9"/>
      <c r="R613" s="9">
        <v>400000</v>
      </c>
      <c r="S613" s="9"/>
      <c r="T613" s="9">
        <v>255320.16</v>
      </c>
      <c r="U613" s="9"/>
      <c r="V613" s="9"/>
      <c r="W613" s="9">
        <v>8520</v>
      </c>
      <c r="X613" s="40">
        <f t="shared" si="70"/>
        <v>646800.16</v>
      </c>
    </row>
    <row r="614" spans="2:24" ht="31.5">
      <c r="B614" s="307"/>
      <c r="C614" s="307"/>
      <c r="D614" s="303"/>
      <c r="E614" s="116" t="s">
        <v>781</v>
      </c>
      <c r="F614" s="37"/>
      <c r="G614" s="84"/>
      <c r="H614" s="231"/>
      <c r="I614" s="258"/>
      <c r="J614" s="117">
        <f>J615</f>
        <v>1930000</v>
      </c>
      <c r="K614" s="117">
        <f aca="true" t="shared" si="72" ref="K614:W614">K615</f>
        <v>0</v>
      </c>
      <c r="L614" s="117">
        <f t="shared" si="72"/>
        <v>0</v>
      </c>
      <c r="M614" s="117">
        <f t="shared" si="72"/>
        <v>0</v>
      </c>
      <c r="N614" s="117">
        <f t="shared" si="72"/>
        <v>0</v>
      </c>
      <c r="O614" s="117">
        <f t="shared" si="72"/>
        <v>0</v>
      </c>
      <c r="P614" s="117">
        <f t="shared" si="72"/>
        <v>50000</v>
      </c>
      <c r="Q614" s="117">
        <f t="shared" si="72"/>
        <v>310000</v>
      </c>
      <c r="R614" s="117">
        <f t="shared" si="72"/>
        <v>310000</v>
      </c>
      <c r="S614" s="117">
        <f t="shared" si="72"/>
        <v>640000</v>
      </c>
      <c r="T614" s="117">
        <f t="shared" si="72"/>
        <v>310000</v>
      </c>
      <c r="U614" s="117">
        <f t="shared" si="72"/>
        <v>310000</v>
      </c>
      <c r="V614" s="117">
        <f t="shared" si="72"/>
        <v>0</v>
      </c>
      <c r="W614" s="117">
        <f t="shared" si="72"/>
        <v>1390082.4</v>
      </c>
      <c r="X614" s="40">
        <f t="shared" si="70"/>
        <v>229917.6000000001</v>
      </c>
    </row>
    <row r="615" spans="2:24" ht="63">
      <c r="B615" s="307"/>
      <c r="C615" s="307"/>
      <c r="D615" s="303"/>
      <c r="E615" s="29" t="s">
        <v>485</v>
      </c>
      <c r="F615" s="14"/>
      <c r="G615" s="18"/>
      <c r="H615" s="229"/>
      <c r="I615" s="257">
        <v>3210</v>
      </c>
      <c r="J615" s="9">
        <f>1600000+330000</f>
        <v>1930000</v>
      </c>
      <c r="K615" s="49"/>
      <c r="L615" s="49"/>
      <c r="M615" s="49"/>
      <c r="N615" s="49"/>
      <c r="O615" s="49"/>
      <c r="P615" s="49">
        <v>50000</v>
      </c>
      <c r="Q615" s="49">
        <v>310000</v>
      </c>
      <c r="R615" s="49">
        <v>310000</v>
      </c>
      <c r="S615" s="49">
        <f>310000+330000</f>
        <v>640000</v>
      </c>
      <c r="T615" s="49">
        <v>310000</v>
      </c>
      <c r="U615" s="49">
        <v>310000</v>
      </c>
      <c r="V615" s="49"/>
      <c r="W615" s="49">
        <f>360000+3570+209082+22183.2+795247.2</f>
        <v>1390082.4</v>
      </c>
      <c r="X615" s="40">
        <f t="shared" si="70"/>
        <v>229917.6000000001</v>
      </c>
    </row>
    <row r="616" spans="2:24" ht="31.5">
      <c r="B616" s="307"/>
      <c r="C616" s="307"/>
      <c r="D616" s="303"/>
      <c r="E616" s="116" t="s">
        <v>99</v>
      </c>
      <c r="F616" s="14"/>
      <c r="G616" s="18"/>
      <c r="H616" s="229"/>
      <c r="I616" s="257"/>
      <c r="J616" s="26">
        <f>SUM(J617:J618)</f>
        <v>78800</v>
      </c>
      <c r="K616" s="26">
        <f aca="true" t="shared" si="73" ref="K616:W616">SUM(K617:K618)</f>
        <v>0</v>
      </c>
      <c r="L616" s="26">
        <f t="shared" si="73"/>
        <v>0</v>
      </c>
      <c r="M616" s="26">
        <f t="shared" si="73"/>
        <v>0</v>
      </c>
      <c r="N616" s="26">
        <f t="shared" si="73"/>
        <v>0</v>
      </c>
      <c r="O616" s="26">
        <f t="shared" si="73"/>
        <v>0</v>
      </c>
      <c r="P616" s="26">
        <f t="shared" si="73"/>
        <v>0</v>
      </c>
      <c r="Q616" s="26">
        <f t="shared" si="73"/>
        <v>78800</v>
      </c>
      <c r="R616" s="26">
        <f t="shared" si="73"/>
        <v>0</v>
      </c>
      <c r="S616" s="26">
        <f t="shared" si="73"/>
        <v>0</v>
      </c>
      <c r="T616" s="26">
        <f t="shared" si="73"/>
        <v>0</v>
      </c>
      <c r="U616" s="26">
        <f t="shared" si="73"/>
        <v>0</v>
      </c>
      <c r="V616" s="26">
        <f t="shared" si="73"/>
        <v>0</v>
      </c>
      <c r="W616" s="26">
        <f t="shared" si="73"/>
        <v>78800</v>
      </c>
      <c r="X616" s="40">
        <f t="shared" si="70"/>
        <v>0</v>
      </c>
    </row>
    <row r="617" spans="2:24" ht="47.25">
      <c r="B617" s="307"/>
      <c r="C617" s="307"/>
      <c r="D617" s="303"/>
      <c r="E617" s="10" t="s">
        <v>100</v>
      </c>
      <c r="F617" s="14"/>
      <c r="G617" s="18"/>
      <c r="H617" s="229"/>
      <c r="I617" s="257">
        <v>3210</v>
      </c>
      <c r="J617" s="21">
        <v>39400</v>
      </c>
      <c r="K617" s="49"/>
      <c r="L617" s="49"/>
      <c r="M617" s="49"/>
      <c r="N617" s="49"/>
      <c r="O617" s="49"/>
      <c r="P617" s="49"/>
      <c r="Q617" s="49">
        <v>39400</v>
      </c>
      <c r="R617" s="49"/>
      <c r="S617" s="49"/>
      <c r="T617" s="49"/>
      <c r="U617" s="49"/>
      <c r="V617" s="49"/>
      <c r="W617" s="49">
        <v>39400</v>
      </c>
      <c r="X617" s="40">
        <f t="shared" si="70"/>
        <v>0</v>
      </c>
    </row>
    <row r="618" spans="2:24" ht="47.25">
      <c r="B618" s="307"/>
      <c r="C618" s="307"/>
      <c r="D618" s="303"/>
      <c r="E618" s="118" t="s">
        <v>101</v>
      </c>
      <c r="F618" s="14"/>
      <c r="G618" s="18"/>
      <c r="H618" s="229"/>
      <c r="I618" s="257">
        <v>3210</v>
      </c>
      <c r="J618" s="21">
        <v>39400</v>
      </c>
      <c r="K618" s="49"/>
      <c r="L618" s="49"/>
      <c r="M618" s="49"/>
      <c r="N618" s="49"/>
      <c r="O618" s="49"/>
      <c r="P618" s="49"/>
      <c r="Q618" s="49">
        <v>39400</v>
      </c>
      <c r="R618" s="49"/>
      <c r="S618" s="49"/>
      <c r="T618" s="49"/>
      <c r="U618" s="49"/>
      <c r="V618" s="49"/>
      <c r="W618" s="49">
        <v>39400</v>
      </c>
      <c r="X618" s="40">
        <f t="shared" si="70"/>
        <v>0</v>
      </c>
    </row>
    <row r="619" spans="2:24" ht="31.5">
      <c r="B619" s="307"/>
      <c r="C619" s="307"/>
      <c r="D619" s="303"/>
      <c r="E619" s="119" t="s">
        <v>102</v>
      </c>
      <c r="F619" s="14"/>
      <c r="G619" s="18"/>
      <c r="H619" s="229"/>
      <c r="I619" s="257"/>
      <c r="J619" s="77">
        <f>SUM(J620:J621)</f>
        <v>254434</v>
      </c>
      <c r="K619" s="77">
        <f aca="true" t="shared" si="74" ref="K619:W619">SUM(K620:K621)</f>
        <v>0</v>
      </c>
      <c r="L619" s="77">
        <f t="shared" si="74"/>
        <v>0</v>
      </c>
      <c r="M619" s="77">
        <f t="shared" si="74"/>
        <v>0</v>
      </c>
      <c r="N619" s="77">
        <f t="shared" si="74"/>
        <v>0</v>
      </c>
      <c r="O619" s="77">
        <f t="shared" si="74"/>
        <v>0</v>
      </c>
      <c r="P619" s="77">
        <f t="shared" si="74"/>
        <v>0</v>
      </c>
      <c r="Q619" s="77">
        <f t="shared" si="74"/>
        <v>0</v>
      </c>
      <c r="R619" s="77">
        <f t="shared" si="74"/>
        <v>26934</v>
      </c>
      <c r="S619" s="77">
        <f t="shared" si="74"/>
        <v>75900</v>
      </c>
      <c r="T619" s="77">
        <f t="shared" si="74"/>
        <v>75800</v>
      </c>
      <c r="U619" s="77">
        <f t="shared" si="74"/>
        <v>75800</v>
      </c>
      <c r="V619" s="77">
        <f t="shared" si="74"/>
        <v>0</v>
      </c>
      <c r="W619" s="77">
        <f t="shared" si="74"/>
        <v>138180.04</v>
      </c>
      <c r="X619" s="40">
        <f t="shared" si="70"/>
        <v>40453.95999999999</v>
      </c>
    </row>
    <row r="620" spans="2:24" ht="47.25">
      <c r="B620" s="307"/>
      <c r="C620" s="307"/>
      <c r="D620" s="303"/>
      <c r="E620" s="10" t="s">
        <v>426</v>
      </c>
      <c r="F620" s="14"/>
      <c r="G620" s="18"/>
      <c r="H620" s="229"/>
      <c r="I620" s="257">
        <v>3210</v>
      </c>
      <c r="J620" s="21">
        <v>240000</v>
      </c>
      <c r="K620" s="49"/>
      <c r="L620" s="49"/>
      <c r="M620" s="49"/>
      <c r="N620" s="49"/>
      <c r="O620" s="49"/>
      <c r="P620" s="49"/>
      <c r="Q620" s="49"/>
      <c r="R620" s="49">
        <v>12500</v>
      </c>
      <c r="S620" s="49">
        <v>75900</v>
      </c>
      <c r="T620" s="49">
        <v>75800</v>
      </c>
      <c r="U620" s="49">
        <v>75800</v>
      </c>
      <c r="V620" s="49"/>
      <c r="W620" s="49">
        <f>13599.04+110147</f>
        <v>123746.04000000001</v>
      </c>
      <c r="X620" s="40">
        <f t="shared" si="70"/>
        <v>40453.95999999999</v>
      </c>
    </row>
    <row r="621" spans="2:24" ht="31.5">
      <c r="B621" s="307"/>
      <c r="C621" s="307"/>
      <c r="D621" s="303"/>
      <c r="E621" s="10" t="s">
        <v>159</v>
      </c>
      <c r="F621" s="14"/>
      <c r="G621" s="18"/>
      <c r="H621" s="229"/>
      <c r="I621" s="257">
        <v>3210</v>
      </c>
      <c r="J621" s="21">
        <v>14434</v>
      </c>
      <c r="K621" s="201"/>
      <c r="L621" s="201"/>
      <c r="M621" s="201"/>
      <c r="N621" s="201"/>
      <c r="O621" s="201"/>
      <c r="P621" s="201"/>
      <c r="Q621" s="201"/>
      <c r="R621" s="201">
        <v>14434</v>
      </c>
      <c r="S621" s="201"/>
      <c r="T621" s="201"/>
      <c r="U621" s="201"/>
      <c r="V621" s="201"/>
      <c r="W621" s="49">
        <v>14434</v>
      </c>
      <c r="X621" s="40">
        <f t="shared" si="70"/>
        <v>0</v>
      </c>
    </row>
    <row r="622" spans="2:24" ht="31.5">
      <c r="B622" s="307"/>
      <c r="C622" s="307"/>
      <c r="D622" s="303"/>
      <c r="E622" s="39" t="s">
        <v>16</v>
      </c>
      <c r="F622" s="120"/>
      <c r="G622" s="120"/>
      <c r="H622" s="232"/>
      <c r="I622" s="257"/>
      <c r="J622" s="40">
        <f>SUM(J623:J624)</f>
        <v>450000</v>
      </c>
      <c r="K622" s="40">
        <f aca="true" t="shared" si="75" ref="K622:W622">SUM(K623:K624)</f>
        <v>0</v>
      </c>
      <c r="L622" s="40">
        <f t="shared" si="75"/>
        <v>0</v>
      </c>
      <c r="M622" s="40">
        <f t="shared" si="75"/>
        <v>0</v>
      </c>
      <c r="N622" s="40">
        <f t="shared" si="75"/>
        <v>0</v>
      </c>
      <c r="O622" s="40">
        <f t="shared" si="75"/>
        <v>207124.8</v>
      </c>
      <c r="P622" s="40">
        <f t="shared" si="75"/>
        <v>242875.2</v>
      </c>
      <c r="Q622" s="40">
        <f t="shared" si="75"/>
        <v>0</v>
      </c>
      <c r="R622" s="40">
        <f t="shared" si="75"/>
        <v>0</v>
      </c>
      <c r="S622" s="40">
        <f t="shared" si="75"/>
        <v>0</v>
      </c>
      <c r="T622" s="40">
        <f t="shared" si="75"/>
        <v>0</v>
      </c>
      <c r="U622" s="40">
        <f t="shared" si="75"/>
        <v>0</v>
      </c>
      <c r="V622" s="40">
        <f t="shared" si="75"/>
        <v>0</v>
      </c>
      <c r="W622" s="40">
        <f t="shared" si="75"/>
        <v>294628.8</v>
      </c>
      <c r="X622" s="40">
        <f t="shared" si="70"/>
        <v>155371.2</v>
      </c>
    </row>
    <row r="623" spans="2:24" ht="31.5">
      <c r="B623" s="307"/>
      <c r="C623" s="307"/>
      <c r="D623" s="303"/>
      <c r="E623" s="121" t="s">
        <v>17</v>
      </c>
      <c r="F623" s="113"/>
      <c r="G623" s="109"/>
      <c r="H623" s="233"/>
      <c r="I623" s="257">
        <v>3210</v>
      </c>
      <c r="J623" s="122">
        <v>300000</v>
      </c>
      <c r="K623" s="49"/>
      <c r="L623" s="49"/>
      <c r="M623" s="49"/>
      <c r="N623" s="49"/>
      <c r="O623" s="49">
        <v>132124.8</v>
      </c>
      <c r="P623" s="49">
        <v>167875.2</v>
      </c>
      <c r="Q623" s="49"/>
      <c r="R623" s="49"/>
      <c r="S623" s="49"/>
      <c r="T623" s="49"/>
      <c r="U623" s="49"/>
      <c r="V623" s="49"/>
      <c r="W623" s="49">
        <f>132124.8+94017.6+68486.4</f>
        <v>294628.8</v>
      </c>
      <c r="X623" s="40">
        <f t="shared" si="70"/>
        <v>5371.200000000012</v>
      </c>
    </row>
    <row r="624" spans="2:24" ht="63">
      <c r="B624" s="307"/>
      <c r="C624" s="307"/>
      <c r="D624" s="303"/>
      <c r="E624" s="12" t="s">
        <v>18</v>
      </c>
      <c r="F624" s="113"/>
      <c r="G624" s="109"/>
      <c r="H624" s="234"/>
      <c r="I624" s="257">
        <v>3210</v>
      </c>
      <c r="J624" s="21">
        <v>150000</v>
      </c>
      <c r="K624" s="49"/>
      <c r="L624" s="49"/>
      <c r="M624" s="49"/>
      <c r="N624" s="49"/>
      <c r="O624" s="49">
        <v>75000</v>
      </c>
      <c r="P624" s="49">
        <v>75000</v>
      </c>
      <c r="Q624" s="49"/>
      <c r="R624" s="49"/>
      <c r="S624" s="49"/>
      <c r="T624" s="49"/>
      <c r="U624" s="49"/>
      <c r="V624" s="49"/>
      <c r="W624" s="49"/>
      <c r="X624" s="40">
        <f t="shared" si="70"/>
        <v>150000</v>
      </c>
    </row>
    <row r="625" spans="2:24" ht="31.5">
      <c r="B625" s="307"/>
      <c r="C625" s="307"/>
      <c r="D625" s="303"/>
      <c r="E625" s="123" t="s">
        <v>19</v>
      </c>
      <c r="F625" s="124"/>
      <c r="G625" s="125"/>
      <c r="H625" s="235"/>
      <c r="I625" s="257"/>
      <c r="J625" s="77">
        <f>SUM(J626:J648)</f>
        <v>11629380</v>
      </c>
      <c r="K625" s="77">
        <f aca="true" t="shared" si="76" ref="K625:W625">SUM(K626:K648)</f>
        <v>0</v>
      </c>
      <c r="L625" s="77">
        <f t="shared" si="76"/>
        <v>0</v>
      </c>
      <c r="M625" s="77">
        <f>SUM(M626:M648)</f>
        <v>0</v>
      </c>
      <c r="N625" s="77">
        <f t="shared" si="76"/>
        <v>0</v>
      </c>
      <c r="O625" s="77">
        <f>SUM(O626:O648)</f>
        <v>506100</v>
      </c>
      <c r="P625" s="77">
        <f t="shared" si="76"/>
        <v>3754300</v>
      </c>
      <c r="Q625" s="77">
        <f t="shared" si="76"/>
        <v>1846000</v>
      </c>
      <c r="R625" s="77">
        <f>SUM(R626:R648)</f>
        <v>990500</v>
      </c>
      <c r="S625" s="77">
        <f t="shared" si="76"/>
        <v>1697305</v>
      </c>
      <c r="T625" s="77">
        <f t="shared" si="76"/>
        <v>1017000</v>
      </c>
      <c r="U625" s="77">
        <f t="shared" si="76"/>
        <v>0</v>
      </c>
      <c r="V625" s="77">
        <f t="shared" si="76"/>
        <v>1818175</v>
      </c>
      <c r="W625" s="77">
        <f t="shared" si="76"/>
        <v>2985539.44</v>
      </c>
      <c r="X625" s="40">
        <f t="shared" si="70"/>
        <v>6825665.5600000005</v>
      </c>
    </row>
    <row r="626" spans="2:24" ht="63">
      <c r="B626" s="307"/>
      <c r="C626" s="307"/>
      <c r="D626" s="303"/>
      <c r="E626" s="12" t="s">
        <v>107</v>
      </c>
      <c r="F626" s="12"/>
      <c r="G626" s="12"/>
      <c r="H626" s="236"/>
      <c r="I626" s="257">
        <v>3210</v>
      </c>
      <c r="J626" s="21">
        <f>250000-113000</f>
        <v>137000</v>
      </c>
      <c r="K626" s="49"/>
      <c r="L626" s="49"/>
      <c r="M626" s="49"/>
      <c r="N626" s="49"/>
      <c r="O626" s="49"/>
      <c r="P626" s="49"/>
      <c r="Q626" s="49">
        <v>250000</v>
      </c>
      <c r="R626" s="49"/>
      <c r="S626" s="49"/>
      <c r="T626" s="49">
        <v>-113000</v>
      </c>
      <c r="U626" s="49"/>
      <c r="V626" s="49"/>
      <c r="W626" s="49">
        <f>89971.2+5805.6+38751.6</f>
        <v>134528.4</v>
      </c>
      <c r="X626" s="40">
        <f t="shared" si="70"/>
        <v>2471.600000000006</v>
      </c>
    </row>
    <row r="627" spans="2:24" ht="78.75">
      <c r="B627" s="307"/>
      <c r="C627" s="307"/>
      <c r="D627" s="303"/>
      <c r="E627" s="12" t="s">
        <v>158</v>
      </c>
      <c r="F627" s="12"/>
      <c r="G627" s="12"/>
      <c r="H627" s="236"/>
      <c r="I627" s="257">
        <v>3210</v>
      </c>
      <c r="J627" s="21">
        <f>700000+100000+100000</f>
        <v>900000</v>
      </c>
      <c r="K627" s="49"/>
      <c r="L627" s="49"/>
      <c r="M627" s="49"/>
      <c r="N627" s="49"/>
      <c r="O627" s="49"/>
      <c r="P627" s="49">
        <v>700000</v>
      </c>
      <c r="Q627" s="49"/>
      <c r="R627" s="49">
        <f>100000</f>
        <v>100000</v>
      </c>
      <c r="S627" s="49"/>
      <c r="T627" s="49">
        <v>100000</v>
      </c>
      <c r="U627" s="49"/>
      <c r="V627" s="49"/>
      <c r="W627" s="49">
        <f>10164.48</f>
        <v>10164.48</v>
      </c>
      <c r="X627" s="40">
        <f t="shared" si="70"/>
        <v>889835.52</v>
      </c>
    </row>
    <row r="628" spans="2:24" ht="47.25">
      <c r="B628" s="307"/>
      <c r="C628" s="307"/>
      <c r="D628" s="303"/>
      <c r="E628" s="24" t="s">
        <v>783</v>
      </c>
      <c r="F628" s="109"/>
      <c r="G628" s="109"/>
      <c r="H628" s="230"/>
      <c r="I628" s="257">
        <v>3210</v>
      </c>
      <c r="J628" s="21">
        <f>89480+15000</f>
        <v>104480</v>
      </c>
      <c r="K628" s="49"/>
      <c r="L628" s="49"/>
      <c r="M628" s="49"/>
      <c r="N628" s="49"/>
      <c r="O628" s="49"/>
      <c r="P628" s="49"/>
      <c r="Q628" s="49"/>
      <c r="R628" s="49"/>
      <c r="S628" s="49">
        <v>89480</v>
      </c>
      <c r="T628" s="49">
        <v>15000</v>
      </c>
      <c r="U628" s="49"/>
      <c r="V628" s="49"/>
      <c r="W628" s="49"/>
      <c r="X628" s="40">
        <f t="shared" si="70"/>
        <v>104480</v>
      </c>
    </row>
    <row r="629" spans="2:24" ht="63">
      <c r="B629" s="307"/>
      <c r="C629" s="307"/>
      <c r="D629" s="303"/>
      <c r="E629" s="24" t="s">
        <v>784</v>
      </c>
      <c r="F629" s="109"/>
      <c r="G629" s="109"/>
      <c r="H629" s="230"/>
      <c r="I629" s="257">
        <v>3210</v>
      </c>
      <c r="J629" s="21">
        <f>289000-95000</f>
        <v>194000</v>
      </c>
      <c r="K629" s="49"/>
      <c r="L629" s="49"/>
      <c r="M629" s="49"/>
      <c r="N629" s="49"/>
      <c r="O629" s="49"/>
      <c r="P629" s="49"/>
      <c r="Q629" s="49"/>
      <c r="R629" s="49"/>
      <c r="S629" s="49">
        <v>289000</v>
      </c>
      <c r="T629" s="49">
        <v>-95000</v>
      </c>
      <c r="U629" s="49"/>
      <c r="V629" s="49"/>
      <c r="W629" s="49">
        <f>109938+6752.32+44960.4</f>
        <v>161650.72</v>
      </c>
      <c r="X629" s="40">
        <f t="shared" si="70"/>
        <v>32349.28</v>
      </c>
    </row>
    <row r="630" spans="2:24" ht="63">
      <c r="B630" s="307"/>
      <c r="C630" s="307"/>
      <c r="D630" s="303"/>
      <c r="E630" s="12" t="s">
        <v>44</v>
      </c>
      <c r="F630" s="109"/>
      <c r="G630" s="106"/>
      <c r="H630" s="230"/>
      <c r="I630" s="257">
        <v>3210</v>
      </c>
      <c r="J630" s="21">
        <v>380000</v>
      </c>
      <c r="K630" s="49"/>
      <c r="L630" s="49"/>
      <c r="M630" s="49"/>
      <c r="N630" s="49"/>
      <c r="O630" s="49"/>
      <c r="P630" s="49"/>
      <c r="Q630" s="49">
        <v>380000</v>
      </c>
      <c r="R630" s="49"/>
      <c r="S630" s="49"/>
      <c r="T630" s="49"/>
      <c r="U630" s="49"/>
      <c r="V630" s="49"/>
      <c r="W630" s="49"/>
      <c r="X630" s="40">
        <f t="shared" si="70"/>
        <v>380000</v>
      </c>
    </row>
    <row r="631" spans="2:24" ht="63">
      <c r="B631" s="307"/>
      <c r="C631" s="307"/>
      <c r="D631" s="303"/>
      <c r="E631" s="24" t="s">
        <v>1</v>
      </c>
      <c r="F631" s="109"/>
      <c r="G631" s="109"/>
      <c r="H631" s="230"/>
      <c r="I631" s="257">
        <v>3210</v>
      </c>
      <c r="J631" s="21">
        <v>170000</v>
      </c>
      <c r="K631" s="49"/>
      <c r="L631" s="49"/>
      <c r="M631" s="49"/>
      <c r="N631" s="49"/>
      <c r="O631" s="49"/>
      <c r="P631" s="49"/>
      <c r="Q631" s="49">
        <v>170000</v>
      </c>
      <c r="R631" s="49"/>
      <c r="S631" s="49"/>
      <c r="T631" s="49"/>
      <c r="U631" s="49"/>
      <c r="V631" s="49"/>
      <c r="W631" s="49">
        <f>6572.56+87596.4+30957.6</f>
        <v>125126.56</v>
      </c>
      <c r="X631" s="40">
        <f t="shared" si="70"/>
        <v>44873.44</v>
      </c>
    </row>
    <row r="632" spans="2:24" ht="47.25">
      <c r="B632" s="307"/>
      <c r="C632" s="307"/>
      <c r="D632" s="303"/>
      <c r="E632" s="24" t="s">
        <v>2</v>
      </c>
      <c r="F632" s="109"/>
      <c r="G632" s="109"/>
      <c r="H632" s="230"/>
      <c r="I632" s="257">
        <v>3210</v>
      </c>
      <c r="J632" s="21">
        <v>100000</v>
      </c>
      <c r="K632" s="49"/>
      <c r="L632" s="49"/>
      <c r="M632" s="49"/>
      <c r="N632" s="49"/>
      <c r="O632" s="49">
        <v>100000</v>
      </c>
      <c r="P632" s="49"/>
      <c r="Q632" s="49"/>
      <c r="R632" s="49"/>
      <c r="S632" s="49"/>
      <c r="T632" s="49"/>
      <c r="U632" s="49"/>
      <c r="V632" s="49"/>
      <c r="W632" s="49"/>
      <c r="X632" s="40">
        <f t="shared" si="70"/>
        <v>100000</v>
      </c>
    </row>
    <row r="633" spans="2:24" ht="47.25">
      <c r="B633" s="307"/>
      <c r="C633" s="307"/>
      <c r="D633" s="303"/>
      <c r="E633" s="24" t="s">
        <v>3</v>
      </c>
      <c r="F633" s="109"/>
      <c r="G633" s="109"/>
      <c r="H633" s="230"/>
      <c r="I633" s="257">
        <v>3210</v>
      </c>
      <c r="J633" s="21">
        <v>500000</v>
      </c>
      <c r="K633" s="49"/>
      <c r="L633" s="49"/>
      <c r="M633" s="49"/>
      <c r="N633" s="49"/>
      <c r="O633" s="49"/>
      <c r="P633" s="49"/>
      <c r="Q633" s="49"/>
      <c r="R633" s="49">
        <v>500000</v>
      </c>
      <c r="S633" s="49"/>
      <c r="T633" s="49"/>
      <c r="U633" s="49"/>
      <c r="V633" s="49"/>
      <c r="W633" s="49"/>
      <c r="X633" s="40">
        <f t="shared" si="70"/>
        <v>500000</v>
      </c>
    </row>
    <row r="634" spans="2:24" ht="63">
      <c r="B634" s="307"/>
      <c r="C634" s="307"/>
      <c r="D634" s="303"/>
      <c r="E634" s="24" t="s">
        <v>4</v>
      </c>
      <c r="F634" s="109"/>
      <c r="G634" s="109"/>
      <c r="H634" s="230"/>
      <c r="I634" s="257">
        <v>3210</v>
      </c>
      <c r="J634" s="21">
        <f>1844000-151000</f>
        <v>1693000</v>
      </c>
      <c r="K634" s="49"/>
      <c r="L634" s="49"/>
      <c r="M634" s="49"/>
      <c r="N634" s="49"/>
      <c r="O634" s="49"/>
      <c r="P634" s="49">
        <v>1844000</v>
      </c>
      <c r="Q634" s="49"/>
      <c r="R634" s="49">
        <f>-151000</f>
        <v>-151000</v>
      </c>
      <c r="S634" s="49"/>
      <c r="T634" s="49"/>
      <c r="U634" s="49"/>
      <c r="V634" s="49"/>
      <c r="W634" s="49">
        <f>10164.48</f>
        <v>10164.48</v>
      </c>
      <c r="X634" s="40">
        <f t="shared" si="70"/>
        <v>1682835.52</v>
      </c>
    </row>
    <row r="635" spans="2:24" ht="63">
      <c r="B635" s="307"/>
      <c r="C635" s="307"/>
      <c r="D635" s="303"/>
      <c r="E635" s="24" t="s">
        <v>228</v>
      </c>
      <c r="F635" s="109"/>
      <c r="G635" s="109"/>
      <c r="H635" s="230"/>
      <c r="I635" s="257">
        <v>3210</v>
      </c>
      <c r="J635" s="21">
        <v>1046000</v>
      </c>
      <c r="K635" s="49"/>
      <c r="L635" s="49"/>
      <c r="M635" s="49"/>
      <c r="N635" s="49"/>
      <c r="O635" s="49"/>
      <c r="P635" s="49"/>
      <c r="Q635" s="49">
        <v>1046000</v>
      </c>
      <c r="R635" s="49"/>
      <c r="S635" s="49"/>
      <c r="T635" s="49"/>
      <c r="U635" s="49"/>
      <c r="V635" s="49"/>
      <c r="W635" s="49">
        <f>10287.46+896961.6</f>
        <v>907249.0599999999</v>
      </c>
      <c r="X635" s="40">
        <f t="shared" si="70"/>
        <v>138750.94000000006</v>
      </c>
    </row>
    <row r="636" spans="2:24" ht="63">
      <c r="B636" s="307"/>
      <c r="C636" s="307"/>
      <c r="D636" s="303"/>
      <c r="E636" s="24" t="s">
        <v>819</v>
      </c>
      <c r="F636" s="109"/>
      <c r="G636" s="109"/>
      <c r="H636" s="230"/>
      <c r="I636" s="257">
        <v>3210</v>
      </c>
      <c r="J636" s="21">
        <v>2900000</v>
      </c>
      <c r="K636" s="49"/>
      <c r="L636" s="49"/>
      <c r="M636" s="49"/>
      <c r="N636" s="49"/>
      <c r="O636" s="49"/>
      <c r="P636" s="49"/>
      <c r="Q636" s="49"/>
      <c r="R636" s="49"/>
      <c r="S636" s="49">
        <f>2900000-1818175</f>
        <v>1081825</v>
      </c>
      <c r="T636" s="49"/>
      <c r="U636" s="49"/>
      <c r="V636" s="49">
        <v>1818175</v>
      </c>
      <c r="W636" s="49"/>
      <c r="X636" s="40">
        <f t="shared" si="70"/>
        <v>1081825</v>
      </c>
    </row>
    <row r="637" spans="2:24" ht="63">
      <c r="B637" s="307"/>
      <c r="C637" s="307"/>
      <c r="D637" s="303"/>
      <c r="E637" s="12" t="s">
        <v>45</v>
      </c>
      <c r="F637" s="109"/>
      <c r="G637" s="109"/>
      <c r="H637" s="230"/>
      <c r="I637" s="257">
        <v>3210</v>
      </c>
      <c r="J637" s="21">
        <v>110000</v>
      </c>
      <c r="K637" s="49"/>
      <c r="L637" s="49"/>
      <c r="M637" s="49"/>
      <c r="N637" s="49"/>
      <c r="O637" s="49">
        <v>110000</v>
      </c>
      <c r="P637" s="49"/>
      <c r="Q637" s="49"/>
      <c r="R637" s="49"/>
      <c r="S637" s="49"/>
      <c r="T637" s="49"/>
      <c r="U637" s="49"/>
      <c r="V637" s="49"/>
      <c r="W637" s="49">
        <f>57962.4+5847.6+23619.6</f>
        <v>87429.6</v>
      </c>
      <c r="X637" s="40">
        <f t="shared" si="70"/>
        <v>22570.399999999994</v>
      </c>
    </row>
    <row r="638" spans="2:24" ht="63">
      <c r="B638" s="307"/>
      <c r="C638" s="307"/>
      <c r="D638" s="303"/>
      <c r="E638" s="126" t="s">
        <v>46</v>
      </c>
      <c r="F638" s="109"/>
      <c r="G638" s="109"/>
      <c r="H638" s="230"/>
      <c r="I638" s="257">
        <v>3210</v>
      </c>
      <c r="J638" s="21">
        <f>35000+15000</f>
        <v>50000</v>
      </c>
      <c r="K638" s="49"/>
      <c r="L638" s="49"/>
      <c r="M638" s="49"/>
      <c r="N638" s="49"/>
      <c r="O638" s="49">
        <v>35000</v>
      </c>
      <c r="P638" s="49"/>
      <c r="Q638" s="49"/>
      <c r="R638" s="49"/>
      <c r="S638" s="49"/>
      <c r="T638" s="49">
        <v>15000</v>
      </c>
      <c r="U638" s="49"/>
      <c r="V638" s="49"/>
      <c r="W638" s="49">
        <v>49595.99</v>
      </c>
      <c r="X638" s="40">
        <f t="shared" si="70"/>
        <v>404.01000000000204</v>
      </c>
    </row>
    <row r="639" spans="2:24" ht="47.25">
      <c r="B639" s="307"/>
      <c r="C639" s="307"/>
      <c r="D639" s="303"/>
      <c r="E639" s="108" t="s">
        <v>820</v>
      </c>
      <c r="F639" s="109"/>
      <c r="G639" s="109"/>
      <c r="H639" s="230"/>
      <c r="I639" s="257">
        <v>3210</v>
      </c>
      <c r="J639" s="21">
        <f>67700+65000</f>
        <v>132700</v>
      </c>
      <c r="K639" s="49"/>
      <c r="L639" s="49"/>
      <c r="M639" s="49"/>
      <c r="N639" s="49"/>
      <c r="O639" s="49"/>
      <c r="P639" s="49"/>
      <c r="Q639" s="49"/>
      <c r="R639" s="49">
        <v>67700</v>
      </c>
      <c r="S639" s="49"/>
      <c r="T639" s="49">
        <v>65000</v>
      </c>
      <c r="U639" s="49"/>
      <c r="V639" s="49"/>
      <c r="W639" s="49"/>
      <c r="X639" s="40">
        <f t="shared" si="70"/>
        <v>132700</v>
      </c>
    </row>
    <row r="640" spans="2:24" ht="47.25">
      <c r="B640" s="307"/>
      <c r="C640" s="307"/>
      <c r="D640" s="303"/>
      <c r="E640" s="108" t="s">
        <v>821</v>
      </c>
      <c r="F640" s="109"/>
      <c r="G640" s="109"/>
      <c r="H640" s="230"/>
      <c r="I640" s="257">
        <v>3210</v>
      </c>
      <c r="J640" s="21">
        <f>1147900+51000</f>
        <v>1198900</v>
      </c>
      <c r="K640" s="49"/>
      <c r="L640" s="49"/>
      <c r="M640" s="49"/>
      <c r="N640" s="49"/>
      <c r="O640" s="49"/>
      <c r="P640" s="49">
        <v>1147900</v>
      </c>
      <c r="Q640" s="49"/>
      <c r="R640" s="49">
        <f>51000</f>
        <v>51000</v>
      </c>
      <c r="S640" s="49"/>
      <c r="T640" s="49"/>
      <c r="U640" s="49"/>
      <c r="V640" s="49"/>
      <c r="W640" s="49">
        <f>11082.17+934959.6+250892.4</f>
        <v>1196934.17</v>
      </c>
      <c r="X640" s="40">
        <f t="shared" si="70"/>
        <v>1965.8300000000745</v>
      </c>
    </row>
    <row r="641" spans="2:24" ht="31.5">
      <c r="B641" s="307"/>
      <c r="C641" s="307"/>
      <c r="D641" s="303"/>
      <c r="E641" s="108" t="s">
        <v>836</v>
      </c>
      <c r="F641" s="109"/>
      <c r="G641" s="109"/>
      <c r="H641" s="230"/>
      <c r="I641" s="257">
        <v>3210</v>
      </c>
      <c r="J641" s="21">
        <v>62400</v>
      </c>
      <c r="K641" s="49"/>
      <c r="L641" s="49"/>
      <c r="M641" s="49"/>
      <c r="N641" s="49"/>
      <c r="O641" s="49"/>
      <c r="P641" s="49">
        <v>62400</v>
      </c>
      <c r="Q641" s="49"/>
      <c r="R641" s="49"/>
      <c r="S641" s="49"/>
      <c r="T641" s="49"/>
      <c r="U641" s="49"/>
      <c r="V641" s="49"/>
      <c r="W641" s="49">
        <f>5098.28+32512+20914.4</f>
        <v>58524.68</v>
      </c>
      <c r="X641" s="40">
        <f t="shared" si="70"/>
        <v>3875.3199999999997</v>
      </c>
    </row>
    <row r="642" spans="2:24" ht="63">
      <c r="B642" s="307"/>
      <c r="C642" s="307"/>
      <c r="D642" s="303"/>
      <c r="E642" s="108" t="s">
        <v>837</v>
      </c>
      <c r="F642" s="109"/>
      <c r="G642" s="109"/>
      <c r="H642" s="230"/>
      <c r="I642" s="257">
        <v>3210</v>
      </c>
      <c r="J642" s="21">
        <v>61100</v>
      </c>
      <c r="K642" s="49"/>
      <c r="L642" s="49"/>
      <c r="M642" s="49"/>
      <c r="N642" s="49"/>
      <c r="O642" s="49">
        <v>61100</v>
      </c>
      <c r="P642" s="49"/>
      <c r="Q642" s="49"/>
      <c r="R642" s="49"/>
      <c r="S642" s="49"/>
      <c r="T642" s="49"/>
      <c r="U642" s="49"/>
      <c r="V642" s="49"/>
      <c r="W642" s="49">
        <f>5523.1+31122.83+20250.57</f>
        <v>56896.5</v>
      </c>
      <c r="X642" s="40">
        <f t="shared" si="70"/>
        <v>4203.5</v>
      </c>
    </row>
    <row r="643" spans="2:24" ht="94.5" hidden="1">
      <c r="B643" s="307"/>
      <c r="C643" s="307"/>
      <c r="D643" s="303"/>
      <c r="E643" s="24" t="s">
        <v>668</v>
      </c>
      <c r="F643" s="109"/>
      <c r="G643" s="109"/>
      <c r="H643" s="230"/>
      <c r="I643" s="257">
        <v>3210</v>
      </c>
      <c r="J643" s="21">
        <f>422800-422800</f>
        <v>0</v>
      </c>
      <c r="K643" s="49"/>
      <c r="L643" s="49"/>
      <c r="M643" s="49"/>
      <c r="N643" s="49"/>
      <c r="O643" s="49"/>
      <c r="P643" s="49"/>
      <c r="Q643" s="49"/>
      <c r="R643" s="49">
        <f>422800-422800</f>
        <v>0</v>
      </c>
      <c r="S643" s="49"/>
      <c r="T643" s="49"/>
      <c r="U643" s="49"/>
      <c r="V643" s="49"/>
      <c r="W643" s="49"/>
      <c r="X643" s="40">
        <f t="shared" si="70"/>
        <v>0</v>
      </c>
    </row>
    <row r="644" spans="2:24" ht="63.75" customHeight="1">
      <c r="B644" s="307"/>
      <c r="C644" s="307"/>
      <c r="D644" s="303"/>
      <c r="E644" s="278" t="s">
        <v>105</v>
      </c>
      <c r="F644" s="109"/>
      <c r="G644" s="109"/>
      <c r="H644" s="230"/>
      <c r="I644" s="257">
        <v>3210</v>
      </c>
      <c r="J644" s="21">
        <v>210400</v>
      </c>
      <c r="K644" s="49"/>
      <c r="L644" s="49"/>
      <c r="M644" s="49"/>
      <c r="N644" s="49"/>
      <c r="O644" s="49"/>
      <c r="P644" s="49"/>
      <c r="Q644" s="49"/>
      <c r="R644" s="49">
        <v>210400</v>
      </c>
      <c r="S644" s="49"/>
      <c r="T644" s="49"/>
      <c r="U644" s="49"/>
      <c r="V644" s="49"/>
      <c r="W644" s="49"/>
      <c r="X644" s="40">
        <f t="shared" si="70"/>
        <v>210400</v>
      </c>
    </row>
    <row r="645" spans="2:24" ht="63.75" customHeight="1">
      <c r="B645" s="307"/>
      <c r="C645" s="307"/>
      <c r="D645" s="303"/>
      <c r="E645" s="278" t="s">
        <v>106</v>
      </c>
      <c r="F645" s="109"/>
      <c r="G645" s="109"/>
      <c r="H645" s="230"/>
      <c r="I645" s="257">
        <v>3210</v>
      </c>
      <c r="J645" s="21">
        <f>212400+13000</f>
        <v>225400</v>
      </c>
      <c r="K645" s="49"/>
      <c r="L645" s="49"/>
      <c r="M645" s="49"/>
      <c r="N645" s="49"/>
      <c r="O645" s="49"/>
      <c r="P645" s="49"/>
      <c r="Q645" s="49"/>
      <c r="R645" s="49">
        <v>212400</v>
      </c>
      <c r="S645" s="49"/>
      <c r="T645" s="49">
        <v>13000</v>
      </c>
      <c r="U645" s="49"/>
      <c r="V645" s="49"/>
      <c r="W645" s="49"/>
      <c r="X645" s="40">
        <f t="shared" si="70"/>
        <v>225400</v>
      </c>
    </row>
    <row r="646" spans="2:24" ht="94.5">
      <c r="B646" s="307"/>
      <c r="C646" s="307"/>
      <c r="D646" s="303"/>
      <c r="E646" s="278" t="s">
        <v>341</v>
      </c>
      <c r="F646" s="109"/>
      <c r="G646" s="109"/>
      <c r="H646" s="230"/>
      <c r="I646" s="257">
        <v>3210</v>
      </c>
      <c r="J646" s="21">
        <v>237000</v>
      </c>
      <c r="K646" s="49"/>
      <c r="L646" s="49"/>
      <c r="M646" s="49"/>
      <c r="N646" s="49"/>
      <c r="O646" s="49"/>
      <c r="P646" s="49"/>
      <c r="Q646" s="49"/>
      <c r="R646" s="49"/>
      <c r="S646" s="49">
        <v>237000</v>
      </c>
      <c r="T646" s="49"/>
      <c r="U646" s="49"/>
      <c r="V646" s="49"/>
      <c r="W646" s="49"/>
      <c r="X646" s="40">
        <f t="shared" si="70"/>
        <v>237000</v>
      </c>
    </row>
    <row r="647" spans="2:24" ht="63">
      <c r="B647" s="307"/>
      <c r="C647" s="307"/>
      <c r="D647" s="303"/>
      <c r="E647" s="278" t="s">
        <v>128</v>
      </c>
      <c r="F647" s="109"/>
      <c r="G647" s="109"/>
      <c r="H647" s="230"/>
      <c r="I647" s="257">
        <v>3210</v>
      </c>
      <c r="J647" s="21">
        <v>1017000</v>
      </c>
      <c r="K647" s="49"/>
      <c r="L647" s="49"/>
      <c r="M647" s="49"/>
      <c r="N647" s="49"/>
      <c r="O647" s="49"/>
      <c r="P647" s="49"/>
      <c r="Q647" s="49"/>
      <c r="R647" s="49"/>
      <c r="S647" s="49"/>
      <c r="T647" s="49">
        <v>1017000</v>
      </c>
      <c r="U647" s="49"/>
      <c r="V647" s="49"/>
      <c r="W647" s="49"/>
      <c r="X647" s="40">
        <f t="shared" si="70"/>
        <v>1017000</v>
      </c>
    </row>
    <row r="648" spans="2:24" ht="47.25">
      <c r="B648" s="307"/>
      <c r="C648" s="307"/>
      <c r="D648" s="303"/>
      <c r="E648" s="108" t="s">
        <v>838</v>
      </c>
      <c r="F648" s="109"/>
      <c r="G648" s="109"/>
      <c r="H648" s="230"/>
      <c r="I648" s="257">
        <v>3210</v>
      </c>
      <c r="J648" s="21">
        <v>200000</v>
      </c>
      <c r="K648" s="49"/>
      <c r="L648" s="49"/>
      <c r="M648" s="49"/>
      <c r="N648" s="49"/>
      <c r="O648" s="49">
        <v>200000</v>
      </c>
      <c r="P648" s="49"/>
      <c r="Q648" s="49"/>
      <c r="R648" s="49"/>
      <c r="S648" s="49"/>
      <c r="T648" s="49"/>
      <c r="U648" s="49"/>
      <c r="V648" s="49"/>
      <c r="W648" s="49">
        <f>6964+130831.2+49479.6</f>
        <v>187274.80000000002</v>
      </c>
      <c r="X648" s="40">
        <f t="shared" si="70"/>
        <v>12725.199999999983</v>
      </c>
    </row>
    <row r="649" spans="2:24" ht="31.5">
      <c r="B649" s="307"/>
      <c r="C649" s="307"/>
      <c r="D649" s="303"/>
      <c r="E649" s="127" t="s">
        <v>53</v>
      </c>
      <c r="F649" s="125"/>
      <c r="G649" s="125"/>
      <c r="H649" s="237"/>
      <c r="I649" s="257"/>
      <c r="J649" s="77">
        <f>J650</f>
        <v>28000</v>
      </c>
      <c r="K649" s="77">
        <f aca="true" t="shared" si="77" ref="K649:W649">K650</f>
        <v>0</v>
      </c>
      <c r="L649" s="77">
        <f t="shared" si="77"/>
        <v>0</v>
      </c>
      <c r="M649" s="77">
        <f t="shared" si="77"/>
        <v>0</v>
      </c>
      <c r="N649" s="77">
        <f t="shared" si="77"/>
        <v>0</v>
      </c>
      <c r="O649" s="77">
        <f t="shared" si="77"/>
        <v>0</v>
      </c>
      <c r="P649" s="77">
        <f t="shared" si="77"/>
        <v>28000</v>
      </c>
      <c r="Q649" s="77">
        <f t="shared" si="77"/>
        <v>0</v>
      </c>
      <c r="R649" s="77">
        <f t="shared" si="77"/>
        <v>0</v>
      </c>
      <c r="S649" s="77">
        <f t="shared" si="77"/>
        <v>0</v>
      </c>
      <c r="T649" s="77">
        <f t="shared" si="77"/>
        <v>0</v>
      </c>
      <c r="U649" s="77">
        <f t="shared" si="77"/>
        <v>0</v>
      </c>
      <c r="V649" s="77">
        <f t="shared" si="77"/>
        <v>0</v>
      </c>
      <c r="W649" s="77">
        <f t="shared" si="77"/>
        <v>0</v>
      </c>
      <c r="X649" s="40">
        <f t="shared" si="70"/>
        <v>28000</v>
      </c>
    </row>
    <row r="650" spans="2:24" ht="31.5">
      <c r="B650" s="307"/>
      <c r="C650" s="307"/>
      <c r="D650" s="303"/>
      <c r="E650" s="108" t="s">
        <v>54</v>
      </c>
      <c r="F650" s="109"/>
      <c r="G650" s="109"/>
      <c r="H650" s="230"/>
      <c r="I650" s="257">
        <v>3210</v>
      </c>
      <c r="J650" s="21">
        <v>28000</v>
      </c>
      <c r="K650" s="49"/>
      <c r="L650" s="49"/>
      <c r="M650" s="49"/>
      <c r="N650" s="49"/>
      <c r="O650" s="49"/>
      <c r="P650" s="49">
        <v>28000</v>
      </c>
      <c r="Q650" s="49"/>
      <c r="R650" s="49"/>
      <c r="S650" s="49"/>
      <c r="T650" s="49"/>
      <c r="U650" s="49"/>
      <c r="V650" s="49"/>
      <c r="W650" s="49"/>
      <c r="X650" s="40">
        <f t="shared" si="70"/>
        <v>28000</v>
      </c>
    </row>
    <row r="651" spans="2:24" ht="47.25">
      <c r="B651" s="307"/>
      <c r="C651" s="307"/>
      <c r="D651" s="303"/>
      <c r="E651" s="123" t="s">
        <v>55</v>
      </c>
      <c r="F651" s="109"/>
      <c r="G651" s="109"/>
      <c r="H651" s="238"/>
      <c r="I651" s="257"/>
      <c r="J651" s="77">
        <f>J652</f>
        <v>65830</v>
      </c>
      <c r="K651" s="77">
        <f aca="true" t="shared" si="78" ref="K651:W651">K652</f>
        <v>0</v>
      </c>
      <c r="L651" s="77">
        <f t="shared" si="78"/>
        <v>0</v>
      </c>
      <c r="M651" s="77">
        <f t="shared" si="78"/>
        <v>0</v>
      </c>
      <c r="N651" s="77">
        <f t="shared" si="78"/>
        <v>0</v>
      </c>
      <c r="O651" s="77">
        <f t="shared" si="78"/>
        <v>0</v>
      </c>
      <c r="P651" s="77">
        <f t="shared" si="78"/>
        <v>65830</v>
      </c>
      <c r="Q651" s="77">
        <f t="shared" si="78"/>
        <v>0</v>
      </c>
      <c r="R651" s="77">
        <f t="shared" si="78"/>
        <v>0</v>
      </c>
      <c r="S651" s="77">
        <f t="shared" si="78"/>
        <v>0</v>
      </c>
      <c r="T651" s="77">
        <f t="shared" si="78"/>
        <v>0</v>
      </c>
      <c r="U651" s="77">
        <f t="shared" si="78"/>
        <v>0</v>
      </c>
      <c r="V651" s="77">
        <f t="shared" si="78"/>
        <v>0</v>
      </c>
      <c r="W651" s="77">
        <f t="shared" si="78"/>
        <v>0</v>
      </c>
      <c r="X651" s="40">
        <f t="shared" si="70"/>
        <v>65830</v>
      </c>
    </row>
    <row r="652" spans="2:24" ht="31.5">
      <c r="B652" s="307"/>
      <c r="C652" s="307"/>
      <c r="D652" s="303"/>
      <c r="E652" s="12" t="s">
        <v>486</v>
      </c>
      <c r="F652" s="109"/>
      <c r="G652" s="106"/>
      <c r="H652" s="230"/>
      <c r="I652" s="257">
        <v>3210</v>
      </c>
      <c r="J652" s="21">
        <v>65830</v>
      </c>
      <c r="K652" s="49"/>
      <c r="L652" s="49"/>
      <c r="M652" s="49"/>
      <c r="N652" s="49"/>
      <c r="O652" s="49"/>
      <c r="P652" s="49">
        <v>65830</v>
      </c>
      <c r="Q652" s="49"/>
      <c r="R652" s="49"/>
      <c r="S652" s="49"/>
      <c r="T652" s="49"/>
      <c r="U652" s="49"/>
      <c r="V652" s="49"/>
      <c r="W652" s="49"/>
      <c r="X652" s="40">
        <f t="shared" si="70"/>
        <v>65830</v>
      </c>
    </row>
    <row r="653" spans="2:24" ht="31.5">
      <c r="B653" s="307"/>
      <c r="C653" s="307"/>
      <c r="D653" s="303"/>
      <c r="E653" s="123" t="s">
        <v>56</v>
      </c>
      <c r="F653" s="109"/>
      <c r="G653" s="109"/>
      <c r="H653" s="238"/>
      <c r="I653" s="257"/>
      <c r="J653" s="77">
        <f>SUM(J654:J659)</f>
        <v>1250200</v>
      </c>
      <c r="K653" s="77">
        <f aca="true" t="shared" si="79" ref="K653:W653">SUM(K654:K659)</f>
        <v>0</v>
      </c>
      <c r="L653" s="77">
        <f t="shared" si="79"/>
        <v>0</v>
      </c>
      <c r="M653" s="77">
        <f t="shared" si="79"/>
        <v>0</v>
      </c>
      <c r="N653" s="77">
        <f t="shared" si="79"/>
        <v>0</v>
      </c>
      <c r="O653" s="77">
        <f t="shared" si="79"/>
        <v>281200</v>
      </c>
      <c r="P653" s="77">
        <f t="shared" si="79"/>
        <v>250000</v>
      </c>
      <c r="Q653" s="77">
        <f t="shared" si="79"/>
        <v>500000</v>
      </c>
      <c r="R653" s="77">
        <f t="shared" si="79"/>
        <v>150000</v>
      </c>
      <c r="S653" s="77">
        <f t="shared" si="79"/>
        <v>69000</v>
      </c>
      <c r="T653" s="77">
        <f t="shared" si="79"/>
        <v>0</v>
      </c>
      <c r="U653" s="77">
        <f t="shared" si="79"/>
        <v>0</v>
      </c>
      <c r="V653" s="77">
        <f t="shared" si="79"/>
        <v>0</v>
      </c>
      <c r="W653" s="77">
        <f t="shared" si="79"/>
        <v>166648</v>
      </c>
      <c r="X653" s="40">
        <f t="shared" si="70"/>
        <v>1083552</v>
      </c>
    </row>
    <row r="654" spans="2:24" ht="31.5">
      <c r="B654" s="307"/>
      <c r="C654" s="307"/>
      <c r="D654" s="303"/>
      <c r="E654" s="12" t="s">
        <v>406</v>
      </c>
      <c r="F654" s="106"/>
      <c r="G654" s="107"/>
      <c r="H654" s="230"/>
      <c r="I654" s="257">
        <v>3210</v>
      </c>
      <c r="J654" s="21">
        <v>1000000</v>
      </c>
      <c r="K654" s="49"/>
      <c r="L654" s="49"/>
      <c r="M654" s="49"/>
      <c r="N654" s="49"/>
      <c r="O654" s="49">
        <v>100000</v>
      </c>
      <c r="P654" s="49">
        <v>250000</v>
      </c>
      <c r="Q654" s="49">
        <v>500000</v>
      </c>
      <c r="R654" s="49">
        <v>150000</v>
      </c>
      <c r="S654" s="49"/>
      <c r="T654" s="49"/>
      <c r="U654" s="49"/>
      <c r="V654" s="49"/>
      <c r="W654" s="49"/>
      <c r="X654" s="40">
        <f t="shared" si="70"/>
        <v>1000000</v>
      </c>
    </row>
    <row r="655" spans="2:24" ht="31.5">
      <c r="B655" s="307"/>
      <c r="C655" s="307"/>
      <c r="D655" s="303"/>
      <c r="E655" s="105" t="s">
        <v>407</v>
      </c>
      <c r="F655" s="106"/>
      <c r="G655" s="106"/>
      <c r="H655" s="239"/>
      <c r="I655" s="257">
        <v>3210</v>
      </c>
      <c r="J655" s="21">
        <f>120000-18401</f>
        <v>101599</v>
      </c>
      <c r="K655" s="49"/>
      <c r="L655" s="49"/>
      <c r="M655" s="49"/>
      <c r="N655" s="49"/>
      <c r="O655" s="49">
        <v>120000</v>
      </c>
      <c r="P655" s="49"/>
      <c r="Q655" s="49"/>
      <c r="R655" s="49">
        <f>-18401</f>
        <v>-18401</v>
      </c>
      <c r="S655" s="49"/>
      <c r="T655" s="49"/>
      <c r="U655" s="49"/>
      <c r="V655" s="49"/>
      <c r="W655" s="49">
        <v>69650</v>
      </c>
      <c r="X655" s="40">
        <f t="shared" si="70"/>
        <v>31949</v>
      </c>
    </row>
    <row r="656" spans="2:24" ht="31.5">
      <c r="B656" s="307"/>
      <c r="C656" s="307"/>
      <c r="D656" s="303"/>
      <c r="E656" s="10" t="s">
        <v>401</v>
      </c>
      <c r="F656" s="106"/>
      <c r="G656" s="283"/>
      <c r="H656" s="239"/>
      <c r="I656" s="257">
        <v>3210</v>
      </c>
      <c r="J656" s="21">
        <v>40000</v>
      </c>
      <c r="K656" s="49"/>
      <c r="L656" s="49"/>
      <c r="M656" s="49"/>
      <c r="N656" s="49"/>
      <c r="O656" s="49"/>
      <c r="P656" s="49"/>
      <c r="Q656" s="49"/>
      <c r="R656" s="49"/>
      <c r="S656" s="21">
        <v>40000</v>
      </c>
      <c r="T656" s="49"/>
      <c r="U656" s="49"/>
      <c r="V656" s="49"/>
      <c r="W656" s="49">
        <v>29399</v>
      </c>
      <c r="X656" s="40">
        <f t="shared" si="70"/>
        <v>10601</v>
      </c>
    </row>
    <row r="657" spans="2:24" ht="15.75">
      <c r="B657" s="307"/>
      <c r="C657" s="307"/>
      <c r="D657" s="303"/>
      <c r="E657" s="10" t="s">
        <v>402</v>
      </c>
      <c r="F657" s="106"/>
      <c r="G657" s="283"/>
      <c r="H657" s="239"/>
      <c r="I657" s="257">
        <v>3210</v>
      </c>
      <c r="J657" s="21">
        <v>20000</v>
      </c>
      <c r="K657" s="49"/>
      <c r="L657" s="49"/>
      <c r="M657" s="49"/>
      <c r="N657" s="49"/>
      <c r="O657" s="49"/>
      <c r="P657" s="49"/>
      <c r="Q657" s="49"/>
      <c r="R657" s="49"/>
      <c r="S657" s="21">
        <v>20000</v>
      </c>
      <c r="T657" s="49"/>
      <c r="U657" s="49"/>
      <c r="V657" s="49"/>
      <c r="W657" s="49">
        <f>17599</f>
        <v>17599</v>
      </c>
      <c r="X657" s="40">
        <f t="shared" si="70"/>
        <v>2401</v>
      </c>
    </row>
    <row r="658" spans="2:24" ht="15.75">
      <c r="B658" s="307"/>
      <c r="C658" s="307"/>
      <c r="D658" s="303"/>
      <c r="E658" s="10" t="s">
        <v>403</v>
      </c>
      <c r="F658" s="106"/>
      <c r="G658" s="283"/>
      <c r="H658" s="239"/>
      <c r="I658" s="257">
        <v>3210</v>
      </c>
      <c r="J658" s="21">
        <v>9000</v>
      </c>
      <c r="K658" s="49"/>
      <c r="L658" s="49"/>
      <c r="M658" s="49"/>
      <c r="N658" s="49"/>
      <c r="O658" s="49"/>
      <c r="P658" s="49"/>
      <c r="Q658" s="49"/>
      <c r="R658" s="49"/>
      <c r="S658" s="21">
        <v>9000</v>
      </c>
      <c r="T658" s="49"/>
      <c r="U658" s="49"/>
      <c r="V658" s="49"/>
      <c r="W658" s="49"/>
      <c r="X658" s="40">
        <f t="shared" si="70"/>
        <v>9000</v>
      </c>
    </row>
    <row r="659" spans="2:24" ht="31.5">
      <c r="B659" s="307"/>
      <c r="C659" s="307"/>
      <c r="D659" s="303"/>
      <c r="E659" s="10" t="s">
        <v>408</v>
      </c>
      <c r="F659" s="109"/>
      <c r="G659" s="115"/>
      <c r="H659" s="228"/>
      <c r="I659" s="257">
        <v>3210</v>
      </c>
      <c r="J659" s="21">
        <f>61200+18401</f>
        <v>79601</v>
      </c>
      <c r="K659" s="49"/>
      <c r="L659" s="49"/>
      <c r="M659" s="49"/>
      <c r="N659" s="49"/>
      <c r="O659" s="49">
        <v>61200</v>
      </c>
      <c r="P659" s="49"/>
      <c r="Q659" s="49"/>
      <c r="R659" s="49">
        <v>18401</v>
      </c>
      <c r="S659" s="49"/>
      <c r="T659" s="49"/>
      <c r="U659" s="49"/>
      <c r="V659" s="49"/>
      <c r="W659" s="49">
        <v>50000</v>
      </c>
      <c r="X659" s="40">
        <f t="shared" si="70"/>
        <v>29601</v>
      </c>
    </row>
    <row r="660" spans="2:24" ht="15.75">
      <c r="B660" s="308" t="s">
        <v>804</v>
      </c>
      <c r="C660" s="308" t="s">
        <v>710</v>
      </c>
      <c r="D660" s="304" t="s">
        <v>409</v>
      </c>
      <c r="E660" s="29"/>
      <c r="F660" s="14"/>
      <c r="G660" s="18"/>
      <c r="H660" s="229"/>
      <c r="I660" s="257"/>
      <c r="J660" s="210">
        <f>J661</f>
        <v>50000</v>
      </c>
      <c r="K660" s="210">
        <f aca="true" t="shared" si="80" ref="K660:W660">K661</f>
        <v>0</v>
      </c>
      <c r="L660" s="210">
        <f t="shared" si="80"/>
        <v>0</v>
      </c>
      <c r="M660" s="210">
        <f t="shared" si="80"/>
        <v>0</v>
      </c>
      <c r="N660" s="210">
        <f t="shared" si="80"/>
        <v>0</v>
      </c>
      <c r="O660" s="210">
        <f t="shared" si="80"/>
        <v>0</v>
      </c>
      <c r="P660" s="210">
        <f t="shared" si="80"/>
        <v>50000</v>
      </c>
      <c r="Q660" s="210">
        <f t="shared" si="80"/>
        <v>0</v>
      </c>
      <c r="R660" s="210">
        <f t="shared" si="80"/>
        <v>0</v>
      </c>
      <c r="S660" s="210">
        <f t="shared" si="80"/>
        <v>0</v>
      </c>
      <c r="T660" s="210">
        <f t="shared" si="80"/>
        <v>0</v>
      </c>
      <c r="U660" s="210">
        <f t="shared" si="80"/>
        <v>0</v>
      </c>
      <c r="V660" s="210">
        <f t="shared" si="80"/>
        <v>0</v>
      </c>
      <c r="W660" s="210">
        <f t="shared" si="80"/>
        <v>49500</v>
      </c>
      <c r="X660" s="184">
        <f t="shared" si="70"/>
        <v>500</v>
      </c>
    </row>
    <row r="661" spans="2:24" ht="63">
      <c r="B661" s="325"/>
      <c r="C661" s="325"/>
      <c r="D661" s="292"/>
      <c r="E661" s="105" t="s">
        <v>50</v>
      </c>
      <c r="F661" s="113"/>
      <c r="G661" s="113"/>
      <c r="H661" s="228"/>
      <c r="I661" s="250"/>
      <c r="J661" s="21">
        <v>50000</v>
      </c>
      <c r="K661" s="49"/>
      <c r="L661" s="49"/>
      <c r="M661" s="49"/>
      <c r="N661" s="49"/>
      <c r="O661" s="49"/>
      <c r="P661" s="49">
        <v>50000</v>
      </c>
      <c r="Q661" s="49"/>
      <c r="R661" s="49"/>
      <c r="S661" s="49"/>
      <c r="T661" s="49"/>
      <c r="U661" s="49"/>
      <c r="V661" s="49"/>
      <c r="W661" s="49">
        <v>49500</v>
      </c>
      <c r="X661" s="40">
        <f t="shared" si="70"/>
        <v>500</v>
      </c>
    </row>
    <row r="662" spans="2:24" ht="15.75">
      <c r="B662" s="301" t="s">
        <v>620</v>
      </c>
      <c r="C662" s="301" t="s">
        <v>711</v>
      </c>
      <c r="D662" s="304" t="s">
        <v>621</v>
      </c>
      <c r="E662" s="29"/>
      <c r="F662" s="76"/>
      <c r="G662" s="99"/>
      <c r="H662" s="224"/>
      <c r="I662" s="255"/>
      <c r="J662" s="210">
        <f>SUM(J663:J665)</f>
        <v>2354526.8400000003</v>
      </c>
      <c r="K662" s="210">
        <f aca="true" t="shared" si="81" ref="K662:W662">SUM(K663:K665)</f>
        <v>0</v>
      </c>
      <c r="L662" s="210">
        <f t="shared" si="81"/>
        <v>208369.1</v>
      </c>
      <c r="M662" s="210">
        <f t="shared" si="81"/>
        <v>21016.37</v>
      </c>
      <c r="N662" s="210">
        <f t="shared" si="81"/>
        <v>0</v>
      </c>
      <c r="O662" s="210">
        <f t="shared" si="81"/>
        <v>0</v>
      </c>
      <c r="P662" s="210">
        <f t="shared" si="81"/>
        <v>0</v>
      </c>
      <c r="Q662" s="210">
        <f t="shared" si="81"/>
        <v>0</v>
      </c>
      <c r="R662" s="210">
        <f t="shared" si="81"/>
        <v>0</v>
      </c>
      <c r="S662" s="210">
        <f t="shared" si="81"/>
        <v>1900000</v>
      </c>
      <c r="T662" s="210">
        <f t="shared" si="81"/>
        <v>225141.37</v>
      </c>
      <c r="U662" s="210">
        <f t="shared" si="81"/>
        <v>0</v>
      </c>
      <c r="V662" s="210">
        <f t="shared" si="81"/>
        <v>0</v>
      </c>
      <c r="W662" s="210">
        <f t="shared" si="81"/>
        <v>1206143.1</v>
      </c>
      <c r="X662" s="184">
        <f t="shared" si="70"/>
        <v>1148383.7400000002</v>
      </c>
    </row>
    <row r="663" spans="2:24" ht="78.75">
      <c r="B663" s="295"/>
      <c r="C663" s="295"/>
      <c r="D663" s="292"/>
      <c r="E663" s="10" t="s">
        <v>452</v>
      </c>
      <c r="F663" s="76"/>
      <c r="G663" s="99"/>
      <c r="H663" s="224"/>
      <c r="I663" s="255">
        <v>3122</v>
      </c>
      <c r="J663" s="128">
        <v>208369.1</v>
      </c>
      <c r="K663" s="49"/>
      <c r="L663" s="128">
        <v>208369.1</v>
      </c>
      <c r="M663" s="49"/>
      <c r="N663" s="49"/>
      <c r="O663" s="49"/>
      <c r="P663" s="49"/>
      <c r="Q663" s="49"/>
      <c r="R663" s="49"/>
      <c r="S663" s="49"/>
      <c r="T663" s="49"/>
      <c r="U663" s="49"/>
      <c r="V663" s="49"/>
      <c r="W663" s="49">
        <v>208369.1</v>
      </c>
      <c r="X663" s="40">
        <f t="shared" si="70"/>
        <v>0</v>
      </c>
    </row>
    <row r="664" spans="2:24" ht="47.25">
      <c r="B664" s="295"/>
      <c r="C664" s="295"/>
      <c r="D664" s="292"/>
      <c r="E664" s="10" t="s">
        <v>342</v>
      </c>
      <c r="F664" s="76"/>
      <c r="G664" s="99"/>
      <c r="H664" s="224"/>
      <c r="I664" s="255">
        <v>3122</v>
      </c>
      <c r="J664" s="128">
        <f>1900000+225141.37</f>
        <v>2125141.37</v>
      </c>
      <c r="K664" s="49"/>
      <c r="L664" s="128"/>
      <c r="M664" s="49"/>
      <c r="N664" s="49"/>
      <c r="O664" s="49"/>
      <c r="P664" s="49"/>
      <c r="Q664" s="49"/>
      <c r="R664" s="49"/>
      <c r="S664" s="49">
        <v>1900000</v>
      </c>
      <c r="T664" s="49">
        <v>225141.37</v>
      </c>
      <c r="U664" s="49"/>
      <c r="V664" s="49"/>
      <c r="W664" s="49">
        <v>997774</v>
      </c>
      <c r="X664" s="40">
        <f t="shared" si="70"/>
        <v>1127367.37</v>
      </c>
    </row>
    <row r="665" spans="2:24" ht="78.75">
      <c r="B665" s="302"/>
      <c r="C665" s="302"/>
      <c r="D665" s="305"/>
      <c r="E665" s="10" t="s">
        <v>60</v>
      </c>
      <c r="F665" s="76"/>
      <c r="G665" s="99"/>
      <c r="H665" s="224"/>
      <c r="I665" s="255">
        <v>3122</v>
      </c>
      <c r="J665" s="128">
        <v>21016.37</v>
      </c>
      <c r="K665" s="49"/>
      <c r="L665" s="49"/>
      <c r="M665" s="49">
        <v>21016.37</v>
      </c>
      <c r="N665" s="49"/>
      <c r="O665" s="49"/>
      <c r="P665" s="49"/>
      <c r="Q665" s="49"/>
      <c r="R665" s="49"/>
      <c r="S665" s="49"/>
      <c r="T665" s="49"/>
      <c r="U665" s="49"/>
      <c r="V665" s="49"/>
      <c r="W665" s="49"/>
      <c r="X665" s="40">
        <f t="shared" si="70"/>
        <v>21016.37</v>
      </c>
    </row>
    <row r="666" spans="2:24" ht="15.75">
      <c r="B666" s="299" t="s">
        <v>622</v>
      </c>
      <c r="C666" s="299" t="s">
        <v>623</v>
      </c>
      <c r="D666" s="300" t="s">
        <v>624</v>
      </c>
      <c r="E666" s="29"/>
      <c r="F666" s="76"/>
      <c r="G666" s="99"/>
      <c r="H666" s="224"/>
      <c r="I666" s="255"/>
      <c r="J666" s="210">
        <f>SUM(J667:J668)</f>
        <v>767368.1</v>
      </c>
      <c r="K666" s="210">
        <f aca="true" t="shared" si="82" ref="K666:W666">SUM(K667:K668)</f>
        <v>0</v>
      </c>
      <c r="L666" s="210">
        <f t="shared" si="82"/>
        <v>292509.47</v>
      </c>
      <c r="M666" s="210">
        <f t="shared" si="82"/>
        <v>28983.63</v>
      </c>
      <c r="N666" s="210">
        <f t="shared" si="82"/>
        <v>0</v>
      </c>
      <c r="O666" s="210">
        <f t="shared" si="82"/>
        <v>203653.24</v>
      </c>
      <c r="P666" s="210">
        <f t="shared" si="82"/>
        <v>0</v>
      </c>
      <c r="Q666" s="210">
        <f t="shared" si="82"/>
        <v>0</v>
      </c>
      <c r="R666" s="210">
        <f t="shared" si="82"/>
        <v>242221.76</v>
      </c>
      <c r="S666" s="210">
        <f t="shared" si="82"/>
        <v>0</v>
      </c>
      <c r="T666" s="210">
        <f t="shared" si="82"/>
        <v>0</v>
      </c>
      <c r="U666" s="210">
        <f t="shared" si="82"/>
        <v>0</v>
      </c>
      <c r="V666" s="210">
        <f t="shared" si="82"/>
        <v>0</v>
      </c>
      <c r="W666" s="210">
        <f t="shared" si="82"/>
        <v>292509.47</v>
      </c>
      <c r="X666" s="184">
        <f t="shared" si="70"/>
        <v>474858.63</v>
      </c>
    </row>
    <row r="667" spans="2:24" ht="63">
      <c r="B667" s="299"/>
      <c r="C667" s="299"/>
      <c r="D667" s="300"/>
      <c r="E667" s="29" t="s">
        <v>385</v>
      </c>
      <c r="F667" s="76"/>
      <c r="G667" s="99"/>
      <c r="H667" s="224"/>
      <c r="I667" s="255">
        <v>3142</v>
      </c>
      <c r="J667" s="9">
        <v>292509.47</v>
      </c>
      <c r="K667" s="49"/>
      <c r="L667" s="9">
        <v>292509.47</v>
      </c>
      <c r="M667" s="9"/>
      <c r="N667" s="26"/>
      <c r="O667" s="9"/>
      <c r="P667" s="9"/>
      <c r="Q667" s="9"/>
      <c r="R667" s="9"/>
      <c r="S667" s="49"/>
      <c r="T667" s="49"/>
      <c r="U667" s="49"/>
      <c r="V667" s="49"/>
      <c r="W667" s="49">
        <v>292509.47</v>
      </c>
      <c r="X667" s="40">
        <f t="shared" si="70"/>
        <v>0</v>
      </c>
    </row>
    <row r="668" spans="2:24" ht="31.5" customHeight="1">
      <c r="B668" s="299"/>
      <c r="C668" s="299"/>
      <c r="D668" s="300"/>
      <c r="E668" s="12" t="s">
        <v>61</v>
      </c>
      <c r="F668" s="109"/>
      <c r="G668" s="107"/>
      <c r="H668" s="240"/>
      <c r="I668" s="255">
        <v>3110</v>
      </c>
      <c r="J668" s="49">
        <v>474858.63</v>
      </c>
      <c r="K668" s="49"/>
      <c r="L668" s="9"/>
      <c r="M668" s="9">
        <v>28983.63</v>
      </c>
      <c r="N668" s="26"/>
      <c r="O668" s="9">
        <v>203653.24</v>
      </c>
      <c r="P668" s="9"/>
      <c r="Q668" s="9"/>
      <c r="R668" s="9">
        <v>242221.76</v>
      </c>
      <c r="S668" s="49"/>
      <c r="T668" s="49"/>
      <c r="U668" s="49"/>
      <c r="V668" s="49"/>
      <c r="W668" s="49"/>
      <c r="X668" s="40">
        <f t="shared" si="70"/>
        <v>474858.63</v>
      </c>
    </row>
    <row r="669" spans="2:24" ht="15.75" customHeight="1">
      <c r="B669" s="299" t="s">
        <v>22</v>
      </c>
      <c r="C669" s="299" t="s">
        <v>713</v>
      </c>
      <c r="D669" s="300" t="s">
        <v>712</v>
      </c>
      <c r="E669" s="29"/>
      <c r="F669" s="76"/>
      <c r="G669" s="99"/>
      <c r="H669" s="224"/>
      <c r="I669" s="255"/>
      <c r="J669" s="210">
        <f>SUM(J670:J673)</f>
        <v>1154968.9</v>
      </c>
      <c r="K669" s="210">
        <f aca="true" t="shared" si="83" ref="K669:W669">SUM(K670:K673)</f>
        <v>0</v>
      </c>
      <c r="L669" s="210">
        <f t="shared" si="83"/>
        <v>175321.43</v>
      </c>
      <c r="M669" s="210">
        <f t="shared" si="83"/>
        <v>0</v>
      </c>
      <c r="N669" s="210">
        <f t="shared" si="83"/>
        <v>0</v>
      </c>
      <c r="O669" s="210">
        <f t="shared" si="83"/>
        <v>70146.76</v>
      </c>
      <c r="P669" s="210">
        <f t="shared" si="83"/>
        <v>274531.81</v>
      </c>
      <c r="Q669" s="210">
        <f t="shared" si="83"/>
        <v>100000</v>
      </c>
      <c r="R669" s="210">
        <f t="shared" si="83"/>
        <v>760110.27</v>
      </c>
      <c r="S669" s="210">
        <f t="shared" si="83"/>
        <v>0</v>
      </c>
      <c r="T669" s="210">
        <f t="shared" si="83"/>
        <v>-225141.37</v>
      </c>
      <c r="U669" s="210">
        <f t="shared" si="83"/>
        <v>0</v>
      </c>
      <c r="V669" s="210">
        <f t="shared" si="83"/>
        <v>0</v>
      </c>
      <c r="W669" s="210">
        <f t="shared" si="83"/>
        <v>316935</v>
      </c>
      <c r="X669" s="184">
        <f t="shared" si="70"/>
        <v>838033.8999999999</v>
      </c>
    </row>
    <row r="670" spans="2:24" ht="47.25" customHeight="1" hidden="1">
      <c r="B670" s="299"/>
      <c r="C670" s="299"/>
      <c r="D670" s="300"/>
      <c r="E670" s="31" t="s">
        <v>892</v>
      </c>
      <c r="F670" s="76"/>
      <c r="G670" s="99"/>
      <c r="H670" s="224"/>
      <c r="I670" s="255">
        <v>3210</v>
      </c>
      <c r="J670" s="128">
        <f>225141.37-225141.37</f>
        <v>0</v>
      </c>
      <c r="K670" s="49"/>
      <c r="L670" s="49">
        <v>50000</v>
      </c>
      <c r="M670" s="49"/>
      <c r="N670" s="49"/>
      <c r="O670" s="49"/>
      <c r="P670" s="49"/>
      <c r="Q670" s="49"/>
      <c r="R670" s="49">
        <v>175141.37</v>
      </c>
      <c r="S670" s="49"/>
      <c r="T670" s="49">
        <v>-225141.37</v>
      </c>
      <c r="U670" s="49"/>
      <c r="V670" s="49"/>
      <c r="W670" s="49"/>
      <c r="X670" s="40">
        <f t="shared" si="70"/>
        <v>0</v>
      </c>
    </row>
    <row r="671" spans="2:24" ht="47.25" customHeight="1">
      <c r="B671" s="299"/>
      <c r="C671" s="299"/>
      <c r="D671" s="300"/>
      <c r="E671" s="31" t="s">
        <v>755</v>
      </c>
      <c r="F671" s="76"/>
      <c r="G671" s="99"/>
      <c r="H671" s="224"/>
      <c r="I671" s="255">
        <v>3210</v>
      </c>
      <c r="J671" s="128">
        <v>294968.9</v>
      </c>
      <c r="K671" s="49"/>
      <c r="L671" s="49"/>
      <c r="M671" s="49"/>
      <c r="N671" s="49"/>
      <c r="O671" s="49"/>
      <c r="P671" s="49"/>
      <c r="Q671" s="49"/>
      <c r="R671" s="49">
        <f>285418+9550.9</f>
        <v>294968.9</v>
      </c>
      <c r="S671" s="49"/>
      <c r="T671" s="49"/>
      <c r="U671" s="49">
        <f>9550.9-9550.9</f>
        <v>0</v>
      </c>
      <c r="V671" s="49"/>
      <c r="W671" s="49"/>
      <c r="X671" s="40">
        <f t="shared" si="70"/>
        <v>294968.9</v>
      </c>
    </row>
    <row r="672" spans="2:24" ht="47.25" customHeight="1">
      <c r="B672" s="299"/>
      <c r="C672" s="299"/>
      <c r="D672" s="300"/>
      <c r="E672" s="31" t="s">
        <v>756</v>
      </c>
      <c r="F672" s="76"/>
      <c r="G672" s="99"/>
      <c r="H672" s="224"/>
      <c r="I672" s="255">
        <v>3210</v>
      </c>
      <c r="J672" s="128">
        <v>390000</v>
      </c>
      <c r="K672" s="49"/>
      <c r="L672" s="49"/>
      <c r="M672" s="49"/>
      <c r="N672" s="49"/>
      <c r="O672" s="49"/>
      <c r="P672" s="49"/>
      <c r="Q672" s="49">
        <v>100000</v>
      </c>
      <c r="R672" s="49">
        <v>290000</v>
      </c>
      <c r="S672" s="49"/>
      <c r="T672" s="49"/>
      <c r="U672" s="49">
        <f>390000-390000</f>
        <v>0</v>
      </c>
      <c r="V672" s="49"/>
      <c r="W672" s="49"/>
      <c r="X672" s="40">
        <f t="shared" si="70"/>
        <v>390000</v>
      </c>
    </row>
    <row r="673" spans="2:24" ht="31.5">
      <c r="B673" s="299"/>
      <c r="C673" s="299"/>
      <c r="D673" s="300"/>
      <c r="E673" s="31" t="s">
        <v>757</v>
      </c>
      <c r="F673" s="76"/>
      <c r="G673" s="99"/>
      <c r="H673" s="224"/>
      <c r="I673" s="255">
        <v>3210</v>
      </c>
      <c r="J673" s="128">
        <f>195468.19+274531.81</f>
        <v>470000</v>
      </c>
      <c r="K673" s="49"/>
      <c r="L673" s="49">
        <v>125321.43</v>
      </c>
      <c r="M673" s="49"/>
      <c r="N673" s="49"/>
      <c r="O673" s="49">
        <v>70146.76</v>
      </c>
      <c r="P673" s="49">
        <v>274531.81</v>
      </c>
      <c r="Q673" s="49"/>
      <c r="R673" s="49"/>
      <c r="S673" s="49"/>
      <c r="T673" s="49"/>
      <c r="U673" s="49"/>
      <c r="V673" s="49"/>
      <c r="W673" s="49">
        <f>149708.52+15475.8+40249.08-300+111801.6</f>
        <v>316935</v>
      </c>
      <c r="X673" s="40">
        <f t="shared" si="70"/>
        <v>153065</v>
      </c>
    </row>
    <row r="674" spans="2:24" ht="15.75">
      <c r="B674" s="310" t="s">
        <v>155</v>
      </c>
      <c r="C674" s="310" t="s">
        <v>817</v>
      </c>
      <c r="D674" s="290" t="s">
        <v>629</v>
      </c>
      <c r="E674" s="67"/>
      <c r="F674" s="76"/>
      <c r="G674" s="99"/>
      <c r="H674" s="224"/>
      <c r="I674" s="255"/>
      <c r="J674" s="282">
        <f>SUM(J675:J676)</f>
        <v>1220500</v>
      </c>
      <c r="K674" s="282">
        <f aca="true" t="shared" si="84" ref="K674:W674">SUM(K675:K676)</f>
        <v>0</v>
      </c>
      <c r="L674" s="282">
        <f t="shared" si="84"/>
        <v>0</v>
      </c>
      <c r="M674" s="282">
        <f t="shared" si="84"/>
        <v>0</v>
      </c>
      <c r="N674" s="282">
        <f t="shared" si="84"/>
        <v>0</v>
      </c>
      <c r="O674" s="282">
        <f t="shared" si="84"/>
        <v>0</v>
      </c>
      <c r="P674" s="282">
        <f t="shared" si="84"/>
        <v>0</v>
      </c>
      <c r="Q674" s="282">
        <f t="shared" si="84"/>
        <v>0</v>
      </c>
      <c r="R674" s="282">
        <f t="shared" si="84"/>
        <v>0</v>
      </c>
      <c r="S674" s="282">
        <f t="shared" si="84"/>
        <v>1220500</v>
      </c>
      <c r="T674" s="282">
        <f t="shared" si="84"/>
        <v>0</v>
      </c>
      <c r="U674" s="282">
        <f t="shared" si="84"/>
        <v>0</v>
      </c>
      <c r="V674" s="282">
        <f t="shared" si="84"/>
        <v>0</v>
      </c>
      <c r="W674" s="282">
        <f t="shared" si="84"/>
        <v>1220500</v>
      </c>
      <c r="X674" s="184">
        <f t="shared" si="70"/>
        <v>0</v>
      </c>
    </row>
    <row r="675" spans="2:24" ht="78.75">
      <c r="B675" s="310"/>
      <c r="C675" s="310"/>
      <c r="D675" s="290"/>
      <c r="E675" s="12" t="s">
        <v>455</v>
      </c>
      <c r="F675" s="76"/>
      <c r="G675" s="99"/>
      <c r="H675" s="224"/>
      <c r="I675" s="255">
        <v>3220</v>
      </c>
      <c r="J675" s="21">
        <v>1008500</v>
      </c>
      <c r="K675" s="49"/>
      <c r="L675" s="49"/>
      <c r="M675" s="49"/>
      <c r="N675" s="49"/>
      <c r="O675" s="49"/>
      <c r="P675" s="49"/>
      <c r="Q675" s="49"/>
      <c r="R675" s="49"/>
      <c r="S675" s="21">
        <v>1008500</v>
      </c>
      <c r="T675" s="49"/>
      <c r="U675" s="49"/>
      <c r="V675" s="49"/>
      <c r="W675" s="49">
        <v>1008500</v>
      </c>
      <c r="X675" s="40">
        <f t="shared" si="70"/>
        <v>0</v>
      </c>
    </row>
    <row r="676" spans="2:24" ht="141.75">
      <c r="B676" s="310"/>
      <c r="C676" s="310"/>
      <c r="D676" s="290"/>
      <c r="E676" s="12" t="s">
        <v>456</v>
      </c>
      <c r="F676" s="76"/>
      <c r="G676" s="99"/>
      <c r="H676" s="224"/>
      <c r="I676" s="255">
        <v>3220</v>
      </c>
      <c r="J676" s="21">
        <v>212000</v>
      </c>
      <c r="K676" s="49"/>
      <c r="L676" s="49"/>
      <c r="M676" s="49"/>
      <c r="N676" s="49"/>
      <c r="O676" s="49"/>
      <c r="P676" s="49"/>
      <c r="Q676" s="49"/>
      <c r="R676" s="49"/>
      <c r="S676" s="21">
        <v>212000</v>
      </c>
      <c r="T676" s="49"/>
      <c r="U676" s="49"/>
      <c r="V676" s="49"/>
      <c r="W676" s="49">
        <v>212000</v>
      </c>
      <c r="X676" s="40">
        <f aca="true" t="shared" si="85" ref="X676:X739">K676+L676+M676+N676+O676+P676+Q676+R676+S676+T676-W676</f>
        <v>0</v>
      </c>
    </row>
    <row r="677" spans="2:24" ht="15.75">
      <c r="B677" s="194"/>
      <c r="C677" s="195"/>
      <c r="D677" s="297" t="s">
        <v>815</v>
      </c>
      <c r="E677" s="298"/>
      <c r="F677" s="100"/>
      <c r="G677" s="101"/>
      <c r="H677" s="223"/>
      <c r="I677" s="254"/>
      <c r="J677" s="43">
        <f aca="true" t="shared" si="86" ref="J677:W677">J681+J687+J701+J705+J710+J714+J766+J772+J829+J703+J824+J678</f>
        <v>52155706.830000006</v>
      </c>
      <c r="K677" s="43">
        <f t="shared" si="86"/>
        <v>0</v>
      </c>
      <c r="L677" s="43">
        <f t="shared" si="86"/>
        <v>5764956.289999999</v>
      </c>
      <c r="M677" s="43">
        <f t="shared" si="86"/>
        <v>0</v>
      </c>
      <c r="N677" s="43">
        <f t="shared" si="86"/>
        <v>0</v>
      </c>
      <c r="O677" s="43">
        <f t="shared" si="86"/>
        <v>2741572.66</v>
      </c>
      <c r="P677" s="43">
        <f t="shared" si="86"/>
        <v>5980997.3</v>
      </c>
      <c r="Q677" s="43">
        <f t="shared" si="86"/>
        <v>5031760.970000001</v>
      </c>
      <c r="R677" s="43">
        <f t="shared" si="86"/>
        <v>10156573.33</v>
      </c>
      <c r="S677" s="43">
        <f t="shared" si="86"/>
        <v>14798971.28</v>
      </c>
      <c r="T677" s="43">
        <f t="shared" si="86"/>
        <v>7251625</v>
      </c>
      <c r="U677" s="43">
        <f t="shared" si="86"/>
        <v>414625</v>
      </c>
      <c r="V677" s="43">
        <f t="shared" si="86"/>
        <v>14625</v>
      </c>
      <c r="W677" s="43">
        <f t="shared" si="86"/>
        <v>14755785.92</v>
      </c>
      <c r="X677" s="60">
        <f t="shared" si="85"/>
        <v>36970670.91</v>
      </c>
    </row>
    <row r="678" spans="2:24" ht="15.75" customHeight="1">
      <c r="B678" s="344" t="s">
        <v>694</v>
      </c>
      <c r="C678" s="310" t="s">
        <v>692</v>
      </c>
      <c r="D678" s="303" t="s">
        <v>70</v>
      </c>
      <c r="E678" s="265"/>
      <c r="F678" s="76"/>
      <c r="G678" s="99"/>
      <c r="H678" s="224"/>
      <c r="I678" s="255"/>
      <c r="J678" s="211">
        <f>J679+J680</f>
        <v>195000</v>
      </c>
      <c r="K678" s="211">
        <f aca="true" t="shared" si="87" ref="K678:W678">K679+K680</f>
        <v>0</v>
      </c>
      <c r="L678" s="211">
        <f t="shared" si="87"/>
        <v>0</v>
      </c>
      <c r="M678" s="211">
        <f t="shared" si="87"/>
        <v>0</v>
      </c>
      <c r="N678" s="211">
        <f t="shared" si="87"/>
        <v>0</v>
      </c>
      <c r="O678" s="211">
        <f t="shared" si="87"/>
        <v>0</v>
      </c>
      <c r="P678" s="211">
        <f t="shared" si="87"/>
        <v>0</v>
      </c>
      <c r="Q678" s="211">
        <f t="shared" si="87"/>
        <v>0</v>
      </c>
      <c r="R678" s="211">
        <f t="shared" si="87"/>
        <v>195000</v>
      </c>
      <c r="S678" s="211">
        <f t="shared" si="87"/>
        <v>0</v>
      </c>
      <c r="T678" s="211">
        <f t="shared" si="87"/>
        <v>0</v>
      </c>
      <c r="U678" s="211">
        <f t="shared" si="87"/>
        <v>0</v>
      </c>
      <c r="V678" s="211">
        <f t="shared" si="87"/>
        <v>0</v>
      </c>
      <c r="W678" s="211">
        <f t="shared" si="87"/>
        <v>0</v>
      </c>
      <c r="X678" s="184">
        <f t="shared" si="85"/>
        <v>195000</v>
      </c>
    </row>
    <row r="679" spans="2:24" ht="15.75">
      <c r="B679" s="345"/>
      <c r="C679" s="310"/>
      <c r="D679" s="303"/>
      <c r="E679" s="12" t="s">
        <v>103</v>
      </c>
      <c r="F679" s="76"/>
      <c r="G679" s="99"/>
      <c r="H679" s="224"/>
      <c r="I679" s="255">
        <v>3110</v>
      </c>
      <c r="J679" s="128">
        <v>100000</v>
      </c>
      <c r="K679" s="102"/>
      <c r="L679" s="102"/>
      <c r="M679" s="102"/>
      <c r="N679" s="102"/>
      <c r="O679" s="102"/>
      <c r="P679" s="102"/>
      <c r="Q679" s="102"/>
      <c r="R679" s="76">
        <v>100000</v>
      </c>
      <c r="S679" s="102"/>
      <c r="T679" s="102"/>
      <c r="U679" s="102"/>
      <c r="V679" s="102"/>
      <c r="W679" s="102"/>
      <c r="X679" s="40">
        <f t="shared" si="85"/>
        <v>100000</v>
      </c>
    </row>
    <row r="680" spans="2:24" ht="47.25">
      <c r="B680" s="346"/>
      <c r="C680" s="310"/>
      <c r="D680" s="303"/>
      <c r="E680" s="12" t="s">
        <v>104</v>
      </c>
      <c r="F680" s="76"/>
      <c r="G680" s="99"/>
      <c r="H680" s="224"/>
      <c r="I680" s="255">
        <v>3110</v>
      </c>
      <c r="J680" s="128">
        <v>95000</v>
      </c>
      <c r="K680" s="102"/>
      <c r="L680" s="102"/>
      <c r="M680" s="102"/>
      <c r="N680" s="102"/>
      <c r="O680" s="102"/>
      <c r="P680" s="102"/>
      <c r="Q680" s="102"/>
      <c r="R680" s="76">
        <v>95000</v>
      </c>
      <c r="S680" s="102"/>
      <c r="T680" s="102"/>
      <c r="U680" s="102"/>
      <c r="V680" s="102"/>
      <c r="W680" s="102"/>
      <c r="X680" s="40">
        <f t="shared" si="85"/>
        <v>95000</v>
      </c>
    </row>
    <row r="681" spans="2:24" ht="15.75">
      <c r="B681" s="301" t="s">
        <v>877</v>
      </c>
      <c r="C681" s="301" t="s">
        <v>72</v>
      </c>
      <c r="D681" s="304" t="s">
        <v>841</v>
      </c>
      <c r="E681" s="94"/>
      <c r="F681" s="76"/>
      <c r="G681" s="99"/>
      <c r="H681" s="224"/>
      <c r="I681" s="255"/>
      <c r="J681" s="211">
        <f>SUM(J682:J686)</f>
        <v>739797.73</v>
      </c>
      <c r="K681" s="211">
        <f aca="true" t="shared" si="88" ref="K681:W681">SUM(K682:K686)</f>
        <v>0</v>
      </c>
      <c r="L681" s="211">
        <f t="shared" si="88"/>
        <v>376797.73</v>
      </c>
      <c r="M681" s="211">
        <f t="shared" si="88"/>
        <v>0</v>
      </c>
      <c r="N681" s="211">
        <f t="shared" si="88"/>
        <v>0</v>
      </c>
      <c r="O681" s="211">
        <f t="shared" si="88"/>
        <v>0</v>
      </c>
      <c r="P681" s="211">
        <f t="shared" si="88"/>
        <v>363000</v>
      </c>
      <c r="Q681" s="211">
        <f t="shared" si="88"/>
        <v>0</v>
      </c>
      <c r="R681" s="211">
        <f t="shared" si="88"/>
        <v>0</v>
      </c>
      <c r="S681" s="211">
        <f t="shared" si="88"/>
        <v>0</v>
      </c>
      <c r="T681" s="211">
        <f t="shared" si="88"/>
        <v>0</v>
      </c>
      <c r="U681" s="211">
        <f t="shared" si="88"/>
        <v>0</v>
      </c>
      <c r="V681" s="211">
        <f t="shared" si="88"/>
        <v>0</v>
      </c>
      <c r="W681" s="211">
        <f t="shared" si="88"/>
        <v>697160.23</v>
      </c>
      <c r="X681" s="184">
        <f t="shared" si="85"/>
        <v>42637.5</v>
      </c>
    </row>
    <row r="682" spans="2:24" ht="94.5">
      <c r="B682" s="295"/>
      <c r="C682" s="295"/>
      <c r="D682" s="292"/>
      <c r="E682" s="12" t="s">
        <v>225</v>
      </c>
      <c r="F682" s="76">
        <v>200000</v>
      </c>
      <c r="G682" s="18">
        <f>100%-((F682-H682)/F682)</f>
        <v>0.52470885</v>
      </c>
      <c r="H682" s="224">
        <v>104941.77</v>
      </c>
      <c r="I682" s="255">
        <v>3132</v>
      </c>
      <c r="J682" s="9">
        <v>1440.73</v>
      </c>
      <c r="K682" s="49"/>
      <c r="L682" s="9">
        <v>1440.73</v>
      </c>
      <c r="M682" s="49"/>
      <c r="N682" s="49"/>
      <c r="O682" s="49"/>
      <c r="P682" s="49"/>
      <c r="Q682" s="49"/>
      <c r="R682" s="49"/>
      <c r="S682" s="49"/>
      <c r="T682" s="49"/>
      <c r="U682" s="49"/>
      <c r="V682" s="49"/>
      <c r="W682" s="49">
        <v>1440.73</v>
      </c>
      <c r="X682" s="40">
        <f t="shared" si="85"/>
        <v>0</v>
      </c>
    </row>
    <row r="683" spans="2:24" ht="47.25">
      <c r="B683" s="295"/>
      <c r="C683" s="295"/>
      <c r="D683" s="292"/>
      <c r="E683" s="12" t="s">
        <v>226</v>
      </c>
      <c r="F683" s="76">
        <v>621000</v>
      </c>
      <c r="G683" s="18">
        <f>100%-((F683-H683)/F683)</f>
        <v>0.394524959742351</v>
      </c>
      <c r="H683" s="224">
        <v>245000</v>
      </c>
      <c r="I683" s="255">
        <v>3132</v>
      </c>
      <c r="J683" s="9">
        <v>375357</v>
      </c>
      <c r="K683" s="49"/>
      <c r="L683" s="9">
        <v>375357</v>
      </c>
      <c r="M683" s="49"/>
      <c r="N683" s="49"/>
      <c r="O683" s="49"/>
      <c r="P683" s="49"/>
      <c r="Q683" s="49"/>
      <c r="R683" s="49"/>
      <c r="S683" s="49"/>
      <c r="T683" s="49"/>
      <c r="U683" s="49"/>
      <c r="V683" s="49"/>
      <c r="W683" s="49">
        <v>375357</v>
      </c>
      <c r="X683" s="40">
        <f t="shared" si="85"/>
        <v>0</v>
      </c>
    </row>
    <row r="684" spans="2:24" ht="78.75">
      <c r="B684" s="295"/>
      <c r="C684" s="295"/>
      <c r="D684" s="292"/>
      <c r="E684" s="12" t="s">
        <v>144</v>
      </c>
      <c r="F684" s="76">
        <v>200000</v>
      </c>
      <c r="G684" s="18">
        <f>100%-((F684-H684)/F684)</f>
        <v>0.52470885</v>
      </c>
      <c r="H684" s="224">
        <v>104941.77</v>
      </c>
      <c r="I684" s="255">
        <v>3132</v>
      </c>
      <c r="J684" s="9">
        <v>97000</v>
      </c>
      <c r="K684" s="49"/>
      <c r="L684" s="49"/>
      <c r="M684" s="49"/>
      <c r="N684" s="49"/>
      <c r="O684" s="49"/>
      <c r="P684" s="49">
        <v>97000</v>
      </c>
      <c r="Q684" s="49"/>
      <c r="R684" s="49"/>
      <c r="S684" s="49"/>
      <c r="T684" s="49"/>
      <c r="U684" s="49"/>
      <c r="V684" s="49"/>
      <c r="W684" s="49">
        <f>80365.2+1236.3</f>
        <v>81601.5</v>
      </c>
      <c r="X684" s="40">
        <f t="shared" si="85"/>
        <v>15398.5</v>
      </c>
    </row>
    <row r="685" spans="2:24" ht="31.5">
      <c r="B685" s="295"/>
      <c r="C685" s="295"/>
      <c r="D685" s="292"/>
      <c r="E685" s="12" t="s">
        <v>358</v>
      </c>
      <c r="F685" s="76"/>
      <c r="G685" s="18"/>
      <c r="H685" s="224"/>
      <c r="I685" s="255">
        <v>3132</v>
      </c>
      <c r="J685" s="9">
        <v>21000</v>
      </c>
      <c r="K685" s="49"/>
      <c r="L685" s="49"/>
      <c r="M685" s="49"/>
      <c r="N685" s="49"/>
      <c r="O685" s="49"/>
      <c r="P685" s="49">
        <v>21000</v>
      </c>
      <c r="Q685" s="49"/>
      <c r="R685" s="49"/>
      <c r="S685" s="49"/>
      <c r="T685" s="49"/>
      <c r="U685" s="49"/>
      <c r="V685" s="49"/>
      <c r="W685" s="49"/>
      <c r="X685" s="40">
        <f t="shared" si="85"/>
        <v>21000</v>
      </c>
    </row>
    <row r="686" spans="2:24" ht="47.25">
      <c r="B686" s="295"/>
      <c r="C686" s="295"/>
      <c r="D686" s="292"/>
      <c r="E686" s="130" t="s">
        <v>353</v>
      </c>
      <c r="F686" s="66">
        <v>621000</v>
      </c>
      <c r="G686" s="18">
        <f>100%-((F686-H686)/F686)</f>
        <v>0.394524959742351</v>
      </c>
      <c r="H686" s="218">
        <v>245000</v>
      </c>
      <c r="I686" s="255">
        <v>3132</v>
      </c>
      <c r="J686" s="66">
        <v>245000</v>
      </c>
      <c r="K686" s="49"/>
      <c r="L686" s="49"/>
      <c r="M686" s="49"/>
      <c r="N686" s="49"/>
      <c r="O686" s="49"/>
      <c r="P686" s="49">
        <v>245000</v>
      </c>
      <c r="Q686" s="49"/>
      <c r="R686" s="49"/>
      <c r="S686" s="49"/>
      <c r="T686" s="49"/>
      <c r="U686" s="49"/>
      <c r="V686" s="49"/>
      <c r="W686" s="49">
        <f>118516.8+2295+117949.2</f>
        <v>238761</v>
      </c>
      <c r="X686" s="40">
        <f t="shared" si="85"/>
        <v>6239</v>
      </c>
    </row>
    <row r="687" spans="2:24" ht="15.75">
      <c r="B687" s="301" t="s">
        <v>878</v>
      </c>
      <c r="C687" s="301" t="s">
        <v>119</v>
      </c>
      <c r="D687" s="304" t="s">
        <v>118</v>
      </c>
      <c r="E687" s="94"/>
      <c r="F687" s="76"/>
      <c r="G687" s="99"/>
      <c r="H687" s="224"/>
      <c r="I687" s="255"/>
      <c r="J687" s="211">
        <f>SUM(J688:J700)</f>
        <v>1477593.17</v>
      </c>
      <c r="K687" s="211">
        <f aca="true" t="shared" si="89" ref="K687:W687">SUM(K688:K700)</f>
        <v>0</v>
      </c>
      <c r="L687" s="211">
        <f t="shared" si="89"/>
        <v>972193.17</v>
      </c>
      <c r="M687" s="211">
        <f t="shared" si="89"/>
        <v>0</v>
      </c>
      <c r="N687" s="211">
        <f t="shared" si="89"/>
        <v>0</v>
      </c>
      <c r="O687" s="211">
        <f t="shared" si="89"/>
        <v>45400</v>
      </c>
      <c r="P687" s="211">
        <f t="shared" si="89"/>
        <v>120000</v>
      </c>
      <c r="Q687" s="211">
        <f t="shared" si="89"/>
        <v>140000</v>
      </c>
      <c r="R687" s="211">
        <f t="shared" si="89"/>
        <v>0</v>
      </c>
      <c r="S687" s="211">
        <f t="shared" si="89"/>
        <v>200000</v>
      </c>
      <c r="T687" s="211">
        <f t="shared" si="89"/>
        <v>0</v>
      </c>
      <c r="U687" s="211">
        <f t="shared" si="89"/>
        <v>0</v>
      </c>
      <c r="V687" s="211">
        <f t="shared" si="89"/>
        <v>0</v>
      </c>
      <c r="W687" s="211">
        <f t="shared" si="89"/>
        <v>853978.14</v>
      </c>
      <c r="X687" s="184">
        <f t="shared" si="85"/>
        <v>623615.0299999999</v>
      </c>
    </row>
    <row r="688" spans="2:24" ht="63">
      <c r="B688" s="295"/>
      <c r="C688" s="295"/>
      <c r="D688" s="292"/>
      <c r="E688" s="12" t="s">
        <v>124</v>
      </c>
      <c r="F688" s="76">
        <v>1058633</v>
      </c>
      <c r="G688" s="18">
        <f aca="true" t="shared" si="90" ref="G688:G695">100%-((F688-H688)/F688)</f>
        <v>0.3542304084607225</v>
      </c>
      <c r="H688" s="224">
        <v>375000</v>
      </c>
      <c r="I688" s="255">
        <v>3132</v>
      </c>
      <c r="J688" s="9">
        <v>4969.61</v>
      </c>
      <c r="K688" s="49"/>
      <c r="L688" s="9">
        <v>4969.61</v>
      </c>
      <c r="M688" s="49"/>
      <c r="N688" s="49"/>
      <c r="O688" s="49"/>
      <c r="P688" s="49"/>
      <c r="Q688" s="49"/>
      <c r="R688" s="49"/>
      <c r="S688" s="49"/>
      <c r="T688" s="49"/>
      <c r="U688" s="49"/>
      <c r="V688" s="49"/>
      <c r="W688" s="49">
        <v>4969.61</v>
      </c>
      <c r="X688" s="40">
        <f t="shared" si="85"/>
        <v>0</v>
      </c>
    </row>
    <row r="689" spans="2:24" ht="63">
      <c r="B689" s="295"/>
      <c r="C689" s="295"/>
      <c r="D689" s="292"/>
      <c r="E689" s="12" t="s">
        <v>866</v>
      </c>
      <c r="F689" s="76">
        <v>207154</v>
      </c>
      <c r="G689" s="18">
        <f t="shared" si="90"/>
        <v>0.42774525232435767</v>
      </c>
      <c r="H689" s="224">
        <v>88609.14</v>
      </c>
      <c r="I689" s="255">
        <v>3132</v>
      </c>
      <c r="J689" s="9">
        <v>88209.14</v>
      </c>
      <c r="K689" s="49"/>
      <c r="L689" s="9">
        <v>88209.14</v>
      </c>
      <c r="M689" s="49"/>
      <c r="N689" s="49"/>
      <c r="O689" s="49"/>
      <c r="P689" s="49"/>
      <c r="Q689" s="49"/>
      <c r="R689" s="49"/>
      <c r="S689" s="49"/>
      <c r="T689" s="49"/>
      <c r="U689" s="49"/>
      <c r="V689" s="49"/>
      <c r="W689" s="49">
        <v>88209.14</v>
      </c>
      <c r="X689" s="40">
        <f t="shared" si="85"/>
        <v>0</v>
      </c>
    </row>
    <row r="690" spans="2:24" ht="63">
      <c r="B690" s="295"/>
      <c r="C690" s="295"/>
      <c r="D690" s="292"/>
      <c r="E690" s="12" t="s">
        <v>867</v>
      </c>
      <c r="F690" s="76">
        <v>336363</v>
      </c>
      <c r="G690" s="18">
        <f t="shared" si="90"/>
        <v>0.12308146258655084</v>
      </c>
      <c r="H690" s="224">
        <v>41400.05</v>
      </c>
      <c r="I690" s="255">
        <v>3132</v>
      </c>
      <c r="J690" s="9">
        <v>11801.35</v>
      </c>
      <c r="K690" s="49"/>
      <c r="L690" s="9">
        <v>11801.35</v>
      </c>
      <c r="M690" s="49"/>
      <c r="N690" s="49"/>
      <c r="O690" s="49"/>
      <c r="P690" s="49"/>
      <c r="Q690" s="49"/>
      <c r="R690" s="49"/>
      <c r="S690" s="49"/>
      <c r="T690" s="49"/>
      <c r="U690" s="49"/>
      <c r="V690" s="49"/>
      <c r="W690" s="49">
        <v>11801.35</v>
      </c>
      <c r="X690" s="40">
        <f t="shared" si="85"/>
        <v>0</v>
      </c>
    </row>
    <row r="691" spans="2:24" ht="63">
      <c r="B691" s="295"/>
      <c r="C691" s="295"/>
      <c r="D691" s="292"/>
      <c r="E691" s="12" t="s">
        <v>244</v>
      </c>
      <c r="F691" s="76">
        <v>409098</v>
      </c>
      <c r="G691" s="18">
        <f t="shared" si="90"/>
        <v>0.003103412874176814</v>
      </c>
      <c r="H691" s="224">
        <v>1269.6</v>
      </c>
      <c r="I691" s="255">
        <v>3132</v>
      </c>
      <c r="J691" s="9">
        <v>407828.4</v>
      </c>
      <c r="K691" s="49"/>
      <c r="L691" s="9">
        <v>407828.4</v>
      </c>
      <c r="M691" s="49"/>
      <c r="N691" s="49"/>
      <c r="O691" s="49"/>
      <c r="P691" s="49"/>
      <c r="Q691" s="49"/>
      <c r="R691" s="49"/>
      <c r="S691" s="49"/>
      <c r="T691" s="49"/>
      <c r="U691" s="49"/>
      <c r="V691" s="49"/>
      <c r="W691" s="49">
        <v>407828.4</v>
      </c>
      <c r="X691" s="40">
        <f t="shared" si="85"/>
        <v>0</v>
      </c>
    </row>
    <row r="692" spans="2:24" ht="63">
      <c r="B692" s="295"/>
      <c r="C692" s="295"/>
      <c r="D692" s="292"/>
      <c r="E692" s="12" t="s">
        <v>245</v>
      </c>
      <c r="F692" s="76">
        <v>499168</v>
      </c>
      <c r="G692" s="18">
        <f t="shared" si="90"/>
        <v>0.0321609357971665</v>
      </c>
      <c r="H692" s="224">
        <v>16053.71</v>
      </c>
      <c r="I692" s="255">
        <v>3132</v>
      </c>
      <c r="J692" s="9">
        <v>246438.89</v>
      </c>
      <c r="K692" s="49"/>
      <c r="L692" s="9">
        <v>246438.89</v>
      </c>
      <c r="M692" s="49"/>
      <c r="N692" s="49"/>
      <c r="O692" s="49"/>
      <c r="P692" s="49"/>
      <c r="Q692" s="49"/>
      <c r="R692" s="49"/>
      <c r="S692" s="49"/>
      <c r="T692" s="49"/>
      <c r="U692" s="49"/>
      <c r="V692" s="49"/>
      <c r="W692" s="49">
        <v>246438.89</v>
      </c>
      <c r="X692" s="40">
        <f t="shared" si="85"/>
        <v>0</v>
      </c>
    </row>
    <row r="693" spans="2:24" ht="78.75">
      <c r="B693" s="295"/>
      <c r="C693" s="295"/>
      <c r="D693" s="292"/>
      <c r="E693" s="12" t="s">
        <v>125</v>
      </c>
      <c r="F693" s="76">
        <v>248770</v>
      </c>
      <c r="G693" s="18">
        <f t="shared" si="90"/>
        <v>0.08337271375165822</v>
      </c>
      <c r="H693" s="224">
        <v>20740.63</v>
      </c>
      <c r="I693" s="255">
        <v>3132</v>
      </c>
      <c r="J693" s="9">
        <v>555</v>
      </c>
      <c r="K693" s="49"/>
      <c r="L693" s="9">
        <v>555</v>
      </c>
      <c r="M693" s="49"/>
      <c r="N693" s="49"/>
      <c r="O693" s="49"/>
      <c r="P693" s="49"/>
      <c r="Q693" s="49"/>
      <c r="R693" s="49"/>
      <c r="S693" s="49"/>
      <c r="T693" s="49"/>
      <c r="U693" s="49"/>
      <c r="V693" s="49"/>
      <c r="W693" s="49">
        <v>555</v>
      </c>
      <c r="X693" s="40">
        <f t="shared" si="85"/>
        <v>0</v>
      </c>
    </row>
    <row r="694" spans="2:24" ht="63">
      <c r="B694" s="295"/>
      <c r="C694" s="295"/>
      <c r="D694" s="292"/>
      <c r="E694" s="12" t="s">
        <v>865</v>
      </c>
      <c r="F694" s="76">
        <v>1058633</v>
      </c>
      <c r="G694" s="18">
        <f t="shared" si="90"/>
        <v>0.3542304084607225</v>
      </c>
      <c r="H694" s="224">
        <v>375000</v>
      </c>
      <c r="I694" s="255">
        <v>3132</v>
      </c>
      <c r="J694" s="9">
        <v>182390.78</v>
      </c>
      <c r="K694" s="49"/>
      <c r="L694" s="9">
        <v>182390.78</v>
      </c>
      <c r="M694" s="49"/>
      <c r="N694" s="49"/>
      <c r="O694" s="49"/>
      <c r="P694" s="49"/>
      <c r="Q694" s="49"/>
      <c r="R694" s="49"/>
      <c r="S694" s="49"/>
      <c r="T694" s="49"/>
      <c r="U694" s="49"/>
      <c r="V694" s="49"/>
      <c r="W694" s="49">
        <f>182390.78-182390.78</f>
        <v>0</v>
      </c>
      <c r="X694" s="40">
        <f t="shared" si="85"/>
        <v>182390.78</v>
      </c>
    </row>
    <row r="695" spans="2:24" ht="63">
      <c r="B695" s="295"/>
      <c r="C695" s="295"/>
      <c r="D695" s="292"/>
      <c r="E695" s="10" t="s">
        <v>738</v>
      </c>
      <c r="F695" s="76">
        <v>105000</v>
      </c>
      <c r="G695" s="18">
        <f t="shared" si="90"/>
        <v>1</v>
      </c>
      <c r="H695" s="224">
        <v>105000</v>
      </c>
      <c r="I695" s="255">
        <v>3132</v>
      </c>
      <c r="J695" s="9">
        <v>30000</v>
      </c>
      <c r="K695" s="49"/>
      <c r="L695" s="9">
        <v>30000</v>
      </c>
      <c r="M695" s="49"/>
      <c r="N695" s="49"/>
      <c r="O695" s="49"/>
      <c r="P695" s="49"/>
      <c r="Q695" s="49"/>
      <c r="R695" s="49"/>
      <c r="S695" s="49"/>
      <c r="T695" s="49"/>
      <c r="U695" s="49"/>
      <c r="V695" s="49"/>
      <c r="W695" s="49">
        <v>30000</v>
      </c>
      <c r="X695" s="40">
        <f t="shared" si="85"/>
        <v>0</v>
      </c>
    </row>
    <row r="696" spans="2:24" ht="47.25">
      <c r="B696" s="295"/>
      <c r="C696" s="295"/>
      <c r="D696" s="292"/>
      <c r="E696" s="130" t="s">
        <v>145</v>
      </c>
      <c r="F696" s="66">
        <v>207154</v>
      </c>
      <c r="G696" s="18">
        <f>100%-((F696-H696)/F696)</f>
        <v>0.0019309306120084413</v>
      </c>
      <c r="H696" s="218">
        <v>400</v>
      </c>
      <c r="I696" s="255">
        <v>3132</v>
      </c>
      <c r="J696" s="66">
        <v>400</v>
      </c>
      <c r="K696" s="49"/>
      <c r="L696" s="49"/>
      <c r="M696" s="49"/>
      <c r="N696" s="49"/>
      <c r="O696" s="49">
        <v>400</v>
      </c>
      <c r="P696" s="49"/>
      <c r="Q696" s="49"/>
      <c r="R696" s="49"/>
      <c r="S696" s="49"/>
      <c r="T696" s="49"/>
      <c r="U696" s="49"/>
      <c r="V696" s="49"/>
      <c r="W696" s="49"/>
      <c r="X696" s="40">
        <f t="shared" si="85"/>
        <v>400</v>
      </c>
    </row>
    <row r="697" spans="2:24" ht="63">
      <c r="B697" s="295"/>
      <c r="C697" s="295"/>
      <c r="D697" s="292"/>
      <c r="E697" s="130" t="s">
        <v>868</v>
      </c>
      <c r="F697" s="66">
        <v>105000</v>
      </c>
      <c r="G697" s="18">
        <f aca="true" t="shared" si="91" ref="G697:G704">100%-((F697-H697)/F697)</f>
        <v>1</v>
      </c>
      <c r="H697" s="218">
        <v>105000</v>
      </c>
      <c r="I697" s="255">
        <v>3132</v>
      </c>
      <c r="J697" s="66">
        <v>105000</v>
      </c>
      <c r="K697" s="49"/>
      <c r="L697" s="49"/>
      <c r="M697" s="49"/>
      <c r="N697" s="49"/>
      <c r="O697" s="49">
        <v>45000</v>
      </c>
      <c r="P697" s="49">
        <v>20000</v>
      </c>
      <c r="Q697" s="49">
        <v>40000</v>
      </c>
      <c r="R697" s="49"/>
      <c r="S697" s="49"/>
      <c r="T697" s="49"/>
      <c r="U697" s="49"/>
      <c r="V697" s="49"/>
      <c r="W697" s="49">
        <f>40927.75+6080+2192</f>
        <v>49199.75</v>
      </c>
      <c r="X697" s="40">
        <f t="shared" si="85"/>
        <v>55800.25</v>
      </c>
    </row>
    <row r="698" spans="2:24" ht="47.25">
      <c r="B698" s="295"/>
      <c r="C698" s="295"/>
      <c r="D698" s="292"/>
      <c r="E698" s="130" t="s">
        <v>528</v>
      </c>
      <c r="F698" s="66"/>
      <c r="G698" s="18"/>
      <c r="H698" s="218"/>
      <c r="I698" s="255">
        <v>3132</v>
      </c>
      <c r="J698" s="66">
        <v>150000</v>
      </c>
      <c r="K698" s="49"/>
      <c r="L698" s="49"/>
      <c r="M698" s="49"/>
      <c r="N698" s="49"/>
      <c r="O698" s="49"/>
      <c r="P698" s="49"/>
      <c r="Q698" s="49"/>
      <c r="R698" s="49"/>
      <c r="S698" s="49">
        <v>150000</v>
      </c>
      <c r="T698" s="49"/>
      <c r="U698" s="49"/>
      <c r="V698" s="49"/>
      <c r="W698" s="49"/>
      <c r="X698" s="40">
        <f t="shared" si="85"/>
        <v>150000</v>
      </c>
    </row>
    <row r="699" spans="2:24" ht="47.25">
      <c r="B699" s="295"/>
      <c r="C699" s="295"/>
      <c r="D699" s="292"/>
      <c r="E699" s="130" t="s">
        <v>343</v>
      </c>
      <c r="F699" s="66"/>
      <c r="G699" s="18"/>
      <c r="H699" s="218"/>
      <c r="I699" s="255">
        <v>3132</v>
      </c>
      <c r="J699" s="66">
        <v>50000</v>
      </c>
      <c r="K699" s="49"/>
      <c r="L699" s="49"/>
      <c r="M699" s="49"/>
      <c r="N699" s="49"/>
      <c r="O699" s="49"/>
      <c r="P699" s="49"/>
      <c r="Q699" s="49"/>
      <c r="R699" s="49"/>
      <c r="S699" s="49">
        <v>50000</v>
      </c>
      <c r="T699" s="49"/>
      <c r="U699" s="49"/>
      <c r="V699" s="49"/>
      <c r="W699" s="49">
        <v>14976</v>
      </c>
      <c r="X699" s="40">
        <f t="shared" si="85"/>
        <v>35024</v>
      </c>
    </row>
    <row r="700" spans="2:24" ht="47.25">
      <c r="B700" s="302"/>
      <c r="C700" s="302"/>
      <c r="D700" s="305"/>
      <c r="E700" s="130" t="s">
        <v>869</v>
      </c>
      <c r="F700" s="66">
        <v>200000</v>
      </c>
      <c r="G700" s="18">
        <f t="shared" si="91"/>
        <v>1</v>
      </c>
      <c r="H700" s="218">
        <v>200000</v>
      </c>
      <c r="I700" s="255">
        <v>3132</v>
      </c>
      <c r="J700" s="66">
        <v>200000</v>
      </c>
      <c r="K700" s="49"/>
      <c r="L700" s="49"/>
      <c r="M700" s="49"/>
      <c r="N700" s="49"/>
      <c r="O700" s="49"/>
      <c r="P700" s="49">
        <v>100000</v>
      </c>
      <c r="Q700" s="49">
        <v>100000</v>
      </c>
      <c r="R700" s="49"/>
      <c r="S700" s="49"/>
      <c r="T700" s="49"/>
      <c r="U700" s="49"/>
      <c r="V700" s="49"/>
      <c r="W700" s="49"/>
      <c r="X700" s="40">
        <f t="shared" si="85"/>
        <v>200000</v>
      </c>
    </row>
    <row r="701" spans="2:24" ht="15.75">
      <c r="B701" s="301" t="s">
        <v>122</v>
      </c>
      <c r="C701" s="301" t="s">
        <v>796</v>
      </c>
      <c r="D701" s="304" t="s">
        <v>449</v>
      </c>
      <c r="E701" s="94"/>
      <c r="F701" s="76"/>
      <c r="G701" s="99"/>
      <c r="H701" s="224"/>
      <c r="I701" s="255"/>
      <c r="J701" s="211">
        <f>J702</f>
        <v>1502.62</v>
      </c>
      <c r="K701" s="211">
        <f aca="true" t="shared" si="92" ref="K701:W701">K702</f>
        <v>0</v>
      </c>
      <c r="L701" s="211">
        <f t="shared" si="92"/>
        <v>1502.62</v>
      </c>
      <c r="M701" s="211">
        <f t="shared" si="92"/>
        <v>0</v>
      </c>
      <c r="N701" s="211">
        <f t="shared" si="92"/>
        <v>0</v>
      </c>
      <c r="O701" s="211">
        <f t="shared" si="92"/>
        <v>0</v>
      </c>
      <c r="P701" s="211">
        <f t="shared" si="92"/>
        <v>0</v>
      </c>
      <c r="Q701" s="211">
        <f t="shared" si="92"/>
        <v>0</v>
      </c>
      <c r="R701" s="211">
        <f t="shared" si="92"/>
        <v>0</v>
      </c>
      <c r="S701" s="211">
        <f t="shared" si="92"/>
        <v>0</v>
      </c>
      <c r="T701" s="211">
        <f t="shared" si="92"/>
        <v>0</v>
      </c>
      <c r="U701" s="211">
        <f t="shared" si="92"/>
        <v>0</v>
      </c>
      <c r="V701" s="211">
        <f t="shared" si="92"/>
        <v>0</v>
      </c>
      <c r="W701" s="211">
        <f t="shared" si="92"/>
        <v>1502.62</v>
      </c>
      <c r="X701" s="184">
        <f t="shared" si="85"/>
        <v>0</v>
      </c>
    </row>
    <row r="702" spans="2:24" ht="110.25">
      <c r="B702" s="302"/>
      <c r="C702" s="302"/>
      <c r="D702" s="305"/>
      <c r="E702" s="10" t="s">
        <v>739</v>
      </c>
      <c r="F702" s="76">
        <v>91696</v>
      </c>
      <c r="G702" s="18">
        <f t="shared" si="91"/>
        <v>0.016386974350026118</v>
      </c>
      <c r="H702" s="224">
        <v>1502.62</v>
      </c>
      <c r="I702" s="255">
        <v>3132</v>
      </c>
      <c r="J702" s="76">
        <v>1502.62</v>
      </c>
      <c r="K702" s="49"/>
      <c r="L702" s="76">
        <v>1502.62</v>
      </c>
      <c r="M702" s="49"/>
      <c r="N702" s="49"/>
      <c r="O702" s="49"/>
      <c r="P702" s="49"/>
      <c r="Q702" s="49"/>
      <c r="R702" s="49"/>
      <c r="S702" s="49"/>
      <c r="T702" s="49"/>
      <c r="U702" s="49"/>
      <c r="V702" s="49"/>
      <c r="W702" s="49">
        <v>1502.62</v>
      </c>
      <c r="X702" s="40">
        <f t="shared" si="85"/>
        <v>0</v>
      </c>
    </row>
    <row r="703" spans="2:24" ht="15.75">
      <c r="B703" s="308" t="s">
        <v>846</v>
      </c>
      <c r="C703" s="308" t="s">
        <v>240</v>
      </c>
      <c r="D703" s="304" t="s">
        <v>38</v>
      </c>
      <c r="E703" s="131"/>
      <c r="F703" s="102"/>
      <c r="G703" s="132"/>
      <c r="H703" s="241"/>
      <c r="I703" s="255"/>
      <c r="J703" s="211">
        <f>J704</f>
        <v>100000</v>
      </c>
      <c r="K703" s="211">
        <f aca="true" t="shared" si="93" ref="K703:W703">K704</f>
        <v>0</v>
      </c>
      <c r="L703" s="211">
        <f t="shared" si="93"/>
        <v>0</v>
      </c>
      <c r="M703" s="211">
        <f t="shared" si="93"/>
        <v>0</v>
      </c>
      <c r="N703" s="211">
        <f t="shared" si="93"/>
        <v>0</v>
      </c>
      <c r="O703" s="211">
        <f t="shared" si="93"/>
        <v>0</v>
      </c>
      <c r="P703" s="211">
        <f t="shared" si="93"/>
        <v>50000</v>
      </c>
      <c r="Q703" s="211">
        <f t="shared" si="93"/>
        <v>0</v>
      </c>
      <c r="R703" s="211">
        <f t="shared" si="93"/>
        <v>0</v>
      </c>
      <c r="S703" s="211">
        <f t="shared" si="93"/>
        <v>50000</v>
      </c>
      <c r="T703" s="211">
        <f t="shared" si="93"/>
        <v>0</v>
      </c>
      <c r="U703" s="211">
        <f t="shared" si="93"/>
        <v>0</v>
      </c>
      <c r="V703" s="211">
        <f t="shared" si="93"/>
        <v>0</v>
      </c>
      <c r="W703" s="211">
        <f t="shared" si="93"/>
        <v>0</v>
      </c>
      <c r="X703" s="184">
        <f t="shared" si="85"/>
        <v>100000</v>
      </c>
    </row>
    <row r="704" spans="2:24" ht="63">
      <c r="B704" s="309"/>
      <c r="C704" s="309"/>
      <c r="D704" s="292"/>
      <c r="E704" s="130" t="s">
        <v>870</v>
      </c>
      <c r="F704" s="66">
        <v>45000</v>
      </c>
      <c r="G704" s="18">
        <f t="shared" si="91"/>
        <v>1</v>
      </c>
      <c r="H704" s="218">
        <v>45000</v>
      </c>
      <c r="I704" s="255">
        <v>3131</v>
      </c>
      <c r="J704" s="66">
        <v>100000</v>
      </c>
      <c r="K704" s="49"/>
      <c r="L704" s="49"/>
      <c r="M704" s="49"/>
      <c r="N704" s="49"/>
      <c r="O704" s="49"/>
      <c r="P704" s="49">
        <v>50000</v>
      </c>
      <c r="Q704" s="49"/>
      <c r="R704" s="49"/>
      <c r="S704" s="49">
        <v>50000</v>
      </c>
      <c r="T704" s="49"/>
      <c r="U704" s="49"/>
      <c r="V704" s="49"/>
      <c r="W704" s="49"/>
      <c r="X704" s="40">
        <f t="shared" si="85"/>
        <v>100000</v>
      </c>
    </row>
    <row r="705" spans="2:24" ht="15.75">
      <c r="B705" s="301" t="s">
        <v>239</v>
      </c>
      <c r="C705" s="301" t="s">
        <v>242</v>
      </c>
      <c r="D705" s="304" t="s">
        <v>707</v>
      </c>
      <c r="E705" s="94"/>
      <c r="F705" s="76"/>
      <c r="G705" s="99"/>
      <c r="H705" s="224"/>
      <c r="I705" s="255"/>
      <c r="J705" s="211">
        <f>SUM(J706:J709)</f>
        <v>16862</v>
      </c>
      <c r="K705" s="211">
        <f aca="true" t="shared" si="94" ref="K705:W705">SUM(K706:K709)</f>
        <v>0</v>
      </c>
      <c r="L705" s="211">
        <f t="shared" si="94"/>
        <v>5862</v>
      </c>
      <c r="M705" s="211">
        <f t="shared" si="94"/>
        <v>0</v>
      </c>
      <c r="N705" s="211">
        <f t="shared" si="94"/>
        <v>0</v>
      </c>
      <c r="O705" s="211">
        <f t="shared" si="94"/>
        <v>30000</v>
      </c>
      <c r="P705" s="211">
        <f t="shared" si="94"/>
        <v>-19000</v>
      </c>
      <c r="Q705" s="211">
        <f t="shared" si="94"/>
        <v>0</v>
      </c>
      <c r="R705" s="211">
        <f t="shared" si="94"/>
        <v>0</v>
      </c>
      <c r="S705" s="211">
        <f t="shared" si="94"/>
        <v>0</v>
      </c>
      <c r="T705" s="211">
        <f t="shared" si="94"/>
        <v>0</v>
      </c>
      <c r="U705" s="211">
        <f t="shared" si="94"/>
        <v>0</v>
      </c>
      <c r="V705" s="211">
        <f t="shared" si="94"/>
        <v>0</v>
      </c>
      <c r="W705" s="211">
        <f t="shared" si="94"/>
        <v>15720.16</v>
      </c>
      <c r="X705" s="184">
        <f t="shared" si="85"/>
        <v>1141.8400000000001</v>
      </c>
    </row>
    <row r="706" spans="2:24" ht="78.75">
      <c r="B706" s="295"/>
      <c r="C706" s="295"/>
      <c r="D706" s="292"/>
      <c r="E706" s="12" t="s">
        <v>646</v>
      </c>
      <c r="F706" s="76">
        <v>970391</v>
      </c>
      <c r="G706" s="18">
        <f>100%-((F706-H706)/F706)</f>
        <v>0.015457686643837398</v>
      </c>
      <c r="H706" s="224">
        <v>15000</v>
      </c>
      <c r="I706" s="255">
        <v>3132</v>
      </c>
      <c r="J706" s="9">
        <v>5022</v>
      </c>
      <c r="K706" s="49"/>
      <c r="L706" s="9">
        <v>5022</v>
      </c>
      <c r="M706" s="49"/>
      <c r="N706" s="49"/>
      <c r="O706" s="49"/>
      <c r="P706" s="49"/>
      <c r="Q706" s="49"/>
      <c r="R706" s="49"/>
      <c r="S706" s="49"/>
      <c r="T706" s="49"/>
      <c r="U706" s="49"/>
      <c r="V706" s="49"/>
      <c r="W706" s="49">
        <v>5022</v>
      </c>
      <c r="X706" s="40">
        <f t="shared" si="85"/>
        <v>0</v>
      </c>
    </row>
    <row r="707" spans="2:24" ht="78.75">
      <c r="B707" s="295"/>
      <c r="C707" s="295"/>
      <c r="D707" s="292"/>
      <c r="E707" s="10" t="s">
        <v>859</v>
      </c>
      <c r="F707" s="76">
        <v>699638</v>
      </c>
      <c r="G707" s="18">
        <f>100%-((F707-H707)/F707)</f>
        <v>0.04890191784894471</v>
      </c>
      <c r="H707" s="224">
        <v>34213.64</v>
      </c>
      <c r="I707" s="255">
        <v>3132</v>
      </c>
      <c r="J707" s="9">
        <v>840</v>
      </c>
      <c r="K707" s="49"/>
      <c r="L707" s="9">
        <v>840</v>
      </c>
      <c r="M707" s="49"/>
      <c r="N707" s="49"/>
      <c r="O707" s="49"/>
      <c r="P707" s="49"/>
      <c r="Q707" s="49"/>
      <c r="R707" s="49"/>
      <c r="S707" s="49"/>
      <c r="T707" s="49"/>
      <c r="U707" s="49"/>
      <c r="V707" s="49"/>
      <c r="W707" s="49">
        <v>840</v>
      </c>
      <c r="X707" s="40">
        <f t="shared" si="85"/>
        <v>0</v>
      </c>
    </row>
    <row r="708" spans="2:24" ht="63">
      <c r="B708" s="295"/>
      <c r="C708" s="295"/>
      <c r="D708" s="292"/>
      <c r="E708" s="10" t="s">
        <v>871</v>
      </c>
      <c r="F708" s="76">
        <v>699638</v>
      </c>
      <c r="G708" s="18">
        <f>100%-((F708-H708)/F708)</f>
        <v>0.04890191784894471</v>
      </c>
      <c r="H708" s="224">
        <v>34213.64</v>
      </c>
      <c r="I708" s="255">
        <v>3132</v>
      </c>
      <c r="J708" s="9">
        <f>15000-4500</f>
        <v>10500</v>
      </c>
      <c r="K708" s="49"/>
      <c r="L708" s="49"/>
      <c r="M708" s="49"/>
      <c r="N708" s="49"/>
      <c r="O708" s="49">
        <v>15000</v>
      </c>
      <c r="P708" s="49">
        <v>-4500</v>
      </c>
      <c r="Q708" s="49"/>
      <c r="R708" s="49"/>
      <c r="S708" s="49"/>
      <c r="T708" s="49"/>
      <c r="U708" s="49"/>
      <c r="V708" s="49"/>
      <c r="W708" s="49">
        <v>9779.69</v>
      </c>
      <c r="X708" s="40">
        <f t="shared" si="85"/>
        <v>720.3099999999995</v>
      </c>
    </row>
    <row r="709" spans="2:24" ht="63">
      <c r="B709" s="302"/>
      <c r="C709" s="302"/>
      <c r="D709" s="305"/>
      <c r="E709" s="130" t="s">
        <v>907</v>
      </c>
      <c r="F709" s="66">
        <v>970391</v>
      </c>
      <c r="G709" s="18">
        <f>100%-((F709-H709)/F709)</f>
        <v>0.015457686643837398</v>
      </c>
      <c r="H709" s="218">
        <v>15000</v>
      </c>
      <c r="I709" s="255">
        <v>3132</v>
      </c>
      <c r="J709" s="66">
        <f>15000-14500</f>
        <v>500</v>
      </c>
      <c r="K709" s="49"/>
      <c r="L709" s="49"/>
      <c r="M709" s="49"/>
      <c r="N709" s="49"/>
      <c r="O709" s="49">
        <v>15000</v>
      </c>
      <c r="P709" s="49">
        <v>-14500</v>
      </c>
      <c r="Q709" s="49"/>
      <c r="R709" s="49"/>
      <c r="S709" s="49"/>
      <c r="T709" s="49"/>
      <c r="U709" s="49"/>
      <c r="V709" s="49"/>
      <c r="W709" s="49">
        <v>78.47</v>
      </c>
      <c r="X709" s="40">
        <f t="shared" si="85"/>
        <v>421.53</v>
      </c>
    </row>
    <row r="710" spans="2:24" ht="15.75">
      <c r="B710" s="301" t="s">
        <v>414</v>
      </c>
      <c r="C710" s="301" t="s">
        <v>416</v>
      </c>
      <c r="D710" s="304" t="s">
        <v>418</v>
      </c>
      <c r="E710" s="94"/>
      <c r="F710" s="76"/>
      <c r="G710" s="99"/>
      <c r="H710" s="224"/>
      <c r="I710" s="255"/>
      <c r="J710" s="211">
        <f>SUM(J711:J713)</f>
        <v>110825.45</v>
      </c>
      <c r="K710" s="211">
        <f aca="true" t="shared" si="95" ref="K710:W710">SUM(K711:K713)</f>
        <v>0</v>
      </c>
      <c r="L710" s="211">
        <f t="shared" si="95"/>
        <v>108825.45</v>
      </c>
      <c r="M710" s="211">
        <f t="shared" si="95"/>
        <v>0</v>
      </c>
      <c r="N710" s="211">
        <f t="shared" si="95"/>
        <v>0</v>
      </c>
      <c r="O710" s="211">
        <f t="shared" si="95"/>
        <v>15000</v>
      </c>
      <c r="P710" s="211">
        <f t="shared" si="95"/>
        <v>-13000</v>
      </c>
      <c r="Q710" s="211">
        <f t="shared" si="95"/>
        <v>0</v>
      </c>
      <c r="R710" s="211">
        <f t="shared" si="95"/>
        <v>0</v>
      </c>
      <c r="S710" s="211">
        <f t="shared" si="95"/>
        <v>0</v>
      </c>
      <c r="T710" s="211">
        <f t="shared" si="95"/>
        <v>0</v>
      </c>
      <c r="U710" s="211">
        <f t="shared" si="95"/>
        <v>0</v>
      </c>
      <c r="V710" s="211">
        <f t="shared" si="95"/>
        <v>0</v>
      </c>
      <c r="W710" s="211">
        <f t="shared" si="95"/>
        <v>110289.83</v>
      </c>
      <c r="X710" s="184">
        <f t="shared" si="85"/>
        <v>535.6199999999953</v>
      </c>
    </row>
    <row r="711" spans="2:24" ht="78.75">
      <c r="B711" s="295"/>
      <c r="C711" s="295"/>
      <c r="D711" s="292"/>
      <c r="E711" s="12" t="s">
        <v>799</v>
      </c>
      <c r="F711" s="76">
        <v>998712</v>
      </c>
      <c r="G711" s="18">
        <f>100%-((F711-H711)/F711)</f>
        <v>0.055397501982553554</v>
      </c>
      <c r="H711" s="224">
        <v>55326.15</v>
      </c>
      <c r="I711" s="255">
        <v>3132</v>
      </c>
      <c r="J711" s="9">
        <v>11452.65</v>
      </c>
      <c r="K711" s="49"/>
      <c r="L711" s="9">
        <v>11452.65</v>
      </c>
      <c r="M711" s="49"/>
      <c r="N711" s="49"/>
      <c r="O711" s="49"/>
      <c r="P711" s="49"/>
      <c r="Q711" s="49"/>
      <c r="R711" s="49"/>
      <c r="S711" s="49"/>
      <c r="T711" s="49"/>
      <c r="U711" s="49"/>
      <c r="V711" s="49"/>
      <c r="W711" s="49">
        <v>11452.65</v>
      </c>
      <c r="X711" s="40">
        <f t="shared" si="85"/>
        <v>0</v>
      </c>
    </row>
    <row r="712" spans="2:24" ht="78.75">
      <c r="B712" s="295"/>
      <c r="C712" s="295"/>
      <c r="D712" s="292"/>
      <c r="E712" s="12" t="s">
        <v>860</v>
      </c>
      <c r="F712" s="76">
        <v>587436</v>
      </c>
      <c r="G712" s="18">
        <f>100%-((F712-H712)/F712)</f>
        <v>0.025534696545666202</v>
      </c>
      <c r="H712" s="224">
        <v>15000</v>
      </c>
      <c r="I712" s="255">
        <v>3132</v>
      </c>
      <c r="J712" s="9">
        <v>97372.8</v>
      </c>
      <c r="K712" s="49"/>
      <c r="L712" s="9">
        <v>97372.8</v>
      </c>
      <c r="M712" s="49"/>
      <c r="N712" s="49"/>
      <c r="O712" s="49"/>
      <c r="P712" s="49"/>
      <c r="Q712" s="49"/>
      <c r="R712" s="49"/>
      <c r="S712" s="49"/>
      <c r="T712" s="49"/>
      <c r="U712" s="49"/>
      <c r="V712" s="49"/>
      <c r="W712" s="49">
        <v>97372.8</v>
      </c>
      <c r="X712" s="40">
        <f t="shared" si="85"/>
        <v>0</v>
      </c>
    </row>
    <row r="713" spans="2:24" ht="63">
      <c r="B713" s="302"/>
      <c r="C713" s="302"/>
      <c r="D713" s="305"/>
      <c r="E713" s="130" t="s">
        <v>434</v>
      </c>
      <c r="F713" s="66">
        <v>587436</v>
      </c>
      <c r="G713" s="18">
        <f>100%-((F713-H713)/F713)</f>
        <v>0.025534696545666202</v>
      </c>
      <c r="H713" s="218">
        <v>15000</v>
      </c>
      <c r="I713" s="255">
        <v>3132</v>
      </c>
      <c r="J713" s="66">
        <f>15000-13000</f>
        <v>2000</v>
      </c>
      <c r="K713" s="49"/>
      <c r="L713" s="49"/>
      <c r="M713" s="49"/>
      <c r="N713" s="49"/>
      <c r="O713" s="49">
        <v>15000</v>
      </c>
      <c r="P713" s="49">
        <v>-13000</v>
      </c>
      <c r="Q713" s="49"/>
      <c r="R713" s="49"/>
      <c r="S713" s="49"/>
      <c r="T713" s="49"/>
      <c r="U713" s="49"/>
      <c r="V713" s="49"/>
      <c r="W713" s="49">
        <v>1464.38</v>
      </c>
      <c r="X713" s="40">
        <f t="shared" si="85"/>
        <v>535.6199999999999</v>
      </c>
    </row>
    <row r="714" spans="2:24" ht="15.75">
      <c r="B714" s="301" t="s">
        <v>698</v>
      </c>
      <c r="C714" s="301" t="s">
        <v>699</v>
      </c>
      <c r="D714" s="304" t="s">
        <v>420</v>
      </c>
      <c r="E714" s="94"/>
      <c r="F714" s="76"/>
      <c r="G714" s="99"/>
      <c r="H714" s="224"/>
      <c r="I714" s="255"/>
      <c r="J714" s="211">
        <f>SUM(J715:J765)</f>
        <v>9798523.84</v>
      </c>
      <c r="K714" s="211">
        <f aca="true" t="shared" si="96" ref="K714:W714">SUM(K715:K765)</f>
        <v>0</v>
      </c>
      <c r="L714" s="211">
        <f t="shared" si="96"/>
        <v>2384258.84</v>
      </c>
      <c r="M714" s="211">
        <f t="shared" si="96"/>
        <v>0</v>
      </c>
      <c r="N714" s="211">
        <f t="shared" si="96"/>
        <v>0</v>
      </c>
      <c r="O714" s="211">
        <f t="shared" si="96"/>
        <v>1267765</v>
      </c>
      <c r="P714" s="211">
        <f t="shared" si="96"/>
        <v>2326500</v>
      </c>
      <c r="Q714" s="211">
        <f t="shared" si="96"/>
        <v>1554000</v>
      </c>
      <c r="R714" s="211">
        <f t="shared" si="96"/>
        <v>1280000</v>
      </c>
      <c r="S714" s="211">
        <f t="shared" si="96"/>
        <v>786000</v>
      </c>
      <c r="T714" s="211">
        <f t="shared" si="96"/>
        <v>100000</v>
      </c>
      <c r="U714" s="211">
        <f t="shared" si="96"/>
        <v>100000</v>
      </c>
      <c r="V714" s="211">
        <f t="shared" si="96"/>
        <v>0</v>
      </c>
      <c r="W714" s="211">
        <f t="shared" si="96"/>
        <v>6540330.41</v>
      </c>
      <c r="X714" s="184">
        <f t="shared" si="85"/>
        <v>3158193.4299999997</v>
      </c>
    </row>
    <row r="715" spans="2:24" ht="78.75">
      <c r="B715" s="295"/>
      <c r="C715" s="295"/>
      <c r="D715" s="292"/>
      <c r="E715" s="19" t="s">
        <v>767</v>
      </c>
      <c r="F715" s="76">
        <v>652288</v>
      </c>
      <c r="G715" s="18">
        <f>100%-((F715-H715)/F715)</f>
        <v>0.58687849538854</v>
      </c>
      <c r="H715" s="224">
        <v>382813.8</v>
      </c>
      <c r="I715" s="255">
        <v>3142</v>
      </c>
      <c r="J715" s="9">
        <v>171</v>
      </c>
      <c r="K715" s="49"/>
      <c r="L715" s="9">
        <v>171</v>
      </c>
      <c r="M715" s="49"/>
      <c r="N715" s="49"/>
      <c r="O715" s="49"/>
      <c r="P715" s="49"/>
      <c r="Q715" s="49"/>
      <c r="R715" s="49"/>
      <c r="S715" s="49"/>
      <c r="T715" s="49"/>
      <c r="U715" s="49"/>
      <c r="V715" s="49"/>
      <c r="W715" s="49">
        <v>171</v>
      </c>
      <c r="X715" s="40">
        <f t="shared" si="85"/>
        <v>0</v>
      </c>
    </row>
    <row r="716" spans="2:24" ht="47.25">
      <c r="B716" s="295"/>
      <c r="C716" s="295"/>
      <c r="D716" s="292"/>
      <c r="E716" s="28" t="s">
        <v>202</v>
      </c>
      <c r="F716" s="32">
        <v>113744</v>
      </c>
      <c r="G716" s="18">
        <f>100%-((F716-H716)/F716)</f>
        <v>0.9613166408777606</v>
      </c>
      <c r="H716" s="242">
        <v>109344</v>
      </c>
      <c r="I716" s="259">
        <v>3142</v>
      </c>
      <c r="J716" s="9">
        <v>4400</v>
      </c>
      <c r="K716" s="49"/>
      <c r="L716" s="9">
        <v>4400</v>
      </c>
      <c r="M716" s="49"/>
      <c r="N716" s="49"/>
      <c r="O716" s="49"/>
      <c r="P716" s="49"/>
      <c r="Q716" s="49"/>
      <c r="R716" s="49"/>
      <c r="S716" s="49"/>
      <c r="T716" s="49"/>
      <c r="U716" s="49"/>
      <c r="V716" s="49"/>
      <c r="W716" s="49">
        <v>4400</v>
      </c>
      <c r="X716" s="40">
        <f t="shared" si="85"/>
        <v>0</v>
      </c>
    </row>
    <row r="717" spans="2:24" ht="63">
      <c r="B717" s="295"/>
      <c r="C717" s="295"/>
      <c r="D717" s="292"/>
      <c r="E717" s="10" t="s">
        <v>126</v>
      </c>
      <c r="F717" s="32">
        <v>307171</v>
      </c>
      <c r="G717" s="18">
        <f aca="true" t="shared" si="97" ref="G717:G813">100%-((F717-H717)/F717)</f>
        <v>0.47000999443306823</v>
      </c>
      <c r="H717" s="242">
        <v>144373.44</v>
      </c>
      <c r="I717" s="259">
        <v>3142</v>
      </c>
      <c r="J717" s="9">
        <v>58027.76</v>
      </c>
      <c r="K717" s="49"/>
      <c r="L717" s="9">
        <v>58027.76</v>
      </c>
      <c r="M717" s="49"/>
      <c r="N717" s="49"/>
      <c r="O717" s="49"/>
      <c r="P717" s="49"/>
      <c r="Q717" s="49"/>
      <c r="R717" s="49"/>
      <c r="S717" s="49"/>
      <c r="T717" s="49"/>
      <c r="U717" s="49"/>
      <c r="V717" s="49"/>
      <c r="W717" s="49">
        <v>58027.76</v>
      </c>
      <c r="X717" s="40">
        <f t="shared" si="85"/>
        <v>0</v>
      </c>
    </row>
    <row r="718" spans="2:24" ht="63">
      <c r="B718" s="295"/>
      <c r="C718" s="295"/>
      <c r="D718" s="292"/>
      <c r="E718" s="12" t="s">
        <v>127</v>
      </c>
      <c r="F718" s="32">
        <v>8189053</v>
      </c>
      <c r="G718" s="18">
        <f t="shared" si="97"/>
        <v>0.9638432734529866</v>
      </c>
      <c r="H718" s="242">
        <v>7892963.65</v>
      </c>
      <c r="I718" s="255">
        <v>3142</v>
      </c>
      <c r="J718" s="9">
        <v>62597.5</v>
      </c>
      <c r="K718" s="49"/>
      <c r="L718" s="9">
        <v>62597.5</v>
      </c>
      <c r="M718" s="49"/>
      <c r="N718" s="49"/>
      <c r="O718" s="49"/>
      <c r="P718" s="49"/>
      <c r="Q718" s="49"/>
      <c r="R718" s="49"/>
      <c r="S718" s="49"/>
      <c r="T718" s="49"/>
      <c r="U718" s="49"/>
      <c r="V718" s="49"/>
      <c r="W718" s="49">
        <v>62597.5</v>
      </c>
      <c r="X718" s="40">
        <f t="shared" si="85"/>
        <v>0</v>
      </c>
    </row>
    <row r="719" spans="2:24" ht="110.25">
      <c r="B719" s="295"/>
      <c r="C719" s="295"/>
      <c r="D719" s="292"/>
      <c r="E719" s="33" t="s">
        <v>839</v>
      </c>
      <c r="F719" s="32">
        <v>661469</v>
      </c>
      <c r="G719" s="18">
        <f t="shared" si="97"/>
        <v>0.6417878993573395</v>
      </c>
      <c r="H719" s="242">
        <v>424522.8</v>
      </c>
      <c r="I719" s="259">
        <v>3142</v>
      </c>
      <c r="J719" s="9">
        <v>424522.8</v>
      </c>
      <c r="K719" s="49"/>
      <c r="L719" s="9">
        <v>424522.8</v>
      </c>
      <c r="M719" s="49"/>
      <c r="N719" s="49"/>
      <c r="O719" s="49"/>
      <c r="P719" s="49"/>
      <c r="Q719" s="49"/>
      <c r="R719" s="49"/>
      <c r="S719" s="49"/>
      <c r="T719" s="49"/>
      <c r="U719" s="49"/>
      <c r="V719" s="49"/>
      <c r="W719" s="49">
        <v>424522.8</v>
      </c>
      <c r="X719" s="40">
        <f t="shared" si="85"/>
        <v>0</v>
      </c>
    </row>
    <row r="720" spans="2:24" ht="63">
      <c r="B720" s="295"/>
      <c r="C720" s="295"/>
      <c r="D720" s="292"/>
      <c r="E720" s="10" t="s">
        <v>256</v>
      </c>
      <c r="F720" s="32">
        <v>317569</v>
      </c>
      <c r="G720" s="18">
        <f t="shared" si="97"/>
        <v>0.9823156542357724</v>
      </c>
      <c r="H720" s="242">
        <v>311953</v>
      </c>
      <c r="I720" s="259">
        <v>3142</v>
      </c>
      <c r="J720" s="9">
        <v>5616</v>
      </c>
      <c r="K720" s="49"/>
      <c r="L720" s="9">
        <v>5616</v>
      </c>
      <c r="M720" s="49"/>
      <c r="N720" s="49"/>
      <c r="O720" s="49"/>
      <c r="P720" s="49"/>
      <c r="Q720" s="49"/>
      <c r="R720" s="49"/>
      <c r="S720" s="49"/>
      <c r="T720" s="49"/>
      <c r="U720" s="49"/>
      <c r="V720" s="49"/>
      <c r="W720" s="49">
        <v>5616</v>
      </c>
      <c r="X720" s="40">
        <f t="shared" si="85"/>
        <v>0</v>
      </c>
    </row>
    <row r="721" spans="2:24" ht="63">
      <c r="B721" s="295"/>
      <c r="C721" s="295"/>
      <c r="D721" s="292"/>
      <c r="E721" s="12" t="s">
        <v>257</v>
      </c>
      <c r="F721" s="32">
        <v>387913</v>
      </c>
      <c r="G721" s="18">
        <f t="shared" si="97"/>
        <v>0.9625147906876026</v>
      </c>
      <c r="H721" s="242">
        <v>373372</v>
      </c>
      <c r="I721" s="255">
        <v>3142</v>
      </c>
      <c r="J721" s="9">
        <v>14541</v>
      </c>
      <c r="K721" s="49"/>
      <c r="L721" s="9">
        <v>14541</v>
      </c>
      <c r="M721" s="49"/>
      <c r="N721" s="49"/>
      <c r="O721" s="49"/>
      <c r="P721" s="49"/>
      <c r="Q721" s="49"/>
      <c r="R721" s="49"/>
      <c r="S721" s="49"/>
      <c r="T721" s="49"/>
      <c r="U721" s="49"/>
      <c r="V721" s="49"/>
      <c r="W721" s="49">
        <v>14541</v>
      </c>
      <c r="X721" s="40">
        <f t="shared" si="85"/>
        <v>0</v>
      </c>
    </row>
    <row r="722" spans="2:24" ht="78.75">
      <c r="B722" s="295"/>
      <c r="C722" s="295"/>
      <c r="D722" s="292"/>
      <c r="E722" s="10" t="s">
        <v>258</v>
      </c>
      <c r="F722" s="32">
        <v>232210</v>
      </c>
      <c r="G722" s="18">
        <f t="shared" si="97"/>
        <v>0.43898884630291546</v>
      </c>
      <c r="H722" s="242">
        <v>101937.6</v>
      </c>
      <c r="I722" s="259">
        <v>3142</v>
      </c>
      <c r="J722" s="9">
        <v>101937.6</v>
      </c>
      <c r="K722" s="49"/>
      <c r="L722" s="9">
        <v>101937.6</v>
      </c>
      <c r="M722" s="49"/>
      <c r="N722" s="49"/>
      <c r="O722" s="49"/>
      <c r="P722" s="49"/>
      <c r="Q722" s="49"/>
      <c r="R722" s="49"/>
      <c r="S722" s="49"/>
      <c r="T722" s="49"/>
      <c r="U722" s="49"/>
      <c r="V722" s="49"/>
      <c r="W722" s="49">
        <v>101937.6</v>
      </c>
      <c r="X722" s="40">
        <f t="shared" si="85"/>
        <v>0</v>
      </c>
    </row>
    <row r="723" spans="2:24" ht="78.75">
      <c r="B723" s="295"/>
      <c r="C723" s="295"/>
      <c r="D723" s="292"/>
      <c r="E723" s="12" t="s">
        <v>861</v>
      </c>
      <c r="F723" s="32">
        <v>652288</v>
      </c>
      <c r="G723" s="18">
        <f t="shared" si="97"/>
        <v>0.586878618033752</v>
      </c>
      <c r="H723" s="242">
        <v>382813.88</v>
      </c>
      <c r="I723" s="259">
        <v>3142</v>
      </c>
      <c r="J723" s="9">
        <v>125059.24</v>
      </c>
      <c r="K723" s="49"/>
      <c r="L723" s="9">
        <v>125059.24</v>
      </c>
      <c r="M723" s="49"/>
      <c r="N723" s="49"/>
      <c r="O723" s="49"/>
      <c r="P723" s="49"/>
      <c r="Q723" s="49"/>
      <c r="R723" s="49"/>
      <c r="S723" s="49"/>
      <c r="T723" s="49"/>
      <c r="U723" s="49"/>
      <c r="V723" s="49"/>
      <c r="W723" s="49">
        <v>125059.24</v>
      </c>
      <c r="X723" s="40">
        <f t="shared" si="85"/>
        <v>0</v>
      </c>
    </row>
    <row r="724" spans="2:24" ht="78.75">
      <c r="B724" s="295"/>
      <c r="C724" s="295"/>
      <c r="D724" s="292"/>
      <c r="E724" s="12" t="s">
        <v>259</v>
      </c>
      <c r="F724" s="32">
        <v>1012912</v>
      </c>
      <c r="G724" s="18">
        <f t="shared" si="97"/>
        <v>0.5775623647463946</v>
      </c>
      <c r="H724" s="242">
        <v>585019.85</v>
      </c>
      <c r="I724" s="255">
        <v>3122</v>
      </c>
      <c r="J724" s="9">
        <v>585019.85</v>
      </c>
      <c r="K724" s="49"/>
      <c r="L724" s="9">
        <v>585019.85</v>
      </c>
      <c r="M724" s="49"/>
      <c r="N724" s="49"/>
      <c r="O724" s="49"/>
      <c r="P724" s="49"/>
      <c r="Q724" s="49"/>
      <c r="R724" s="49"/>
      <c r="S724" s="49"/>
      <c r="T724" s="49"/>
      <c r="U724" s="49"/>
      <c r="V724" s="49"/>
      <c r="W724" s="49">
        <v>585019.85</v>
      </c>
      <c r="X724" s="40">
        <f t="shared" si="85"/>
        <v>0</v>
      </c>
    </row>
    <row r="725" spans="2:24" ht="78.75">
      <c r="B725" s="295"/>
      <c r="C725" s="295"/>
      <c r="D725" s="292"/>
      <c r="E725" s="34" t="s">
        <v>946</v>
      </c>
      <c r="F725" s="32">
        <v>64529</v>
      </c>
      <c r="G725" s="18">
        <f t="shared" si="97"/>
        <v>0.8451229679678904</v>
      </c>
      <c r="H725" s="242">
        <v>54534.94</v>
      </c>
      <c r="I725" s="259">
        <v>3142</v>
      </c>
      <c r="J725" s="9">
        <v>9994.06</v>
      </c>
      <c r="K725" s="49"/>
      <c r="L725" s="9">
        <v>9994.06</v>
      </c>
      <c r="M725" s="49"/>
      <c r="N725" s="49"/>
      <c r="O725" s="49"/>
      <c r="P725" s="49"/>
      <c r="Q725" s="49"/>
      <c r="R725" s="49"/>
      <c r="S725" s="49"/>
      <c r="T725" s="49"/>
      <c r="U725" s="49"/>
      <c r="V725" s="49"/>
      <c r="W725" s="49">
        <v>9994.06</v>
      </c>
      <c r="X725" s="40">
        <f t="shared" si="85"/>
        <v>0</v>
      </c>
    </row>
    <row r="726" spans="2:24" ht="63">
      <c r="B726" s="295"/>
      <c r="C726" s="295"/>
      <c r="D726" s="292"/>
      <c r="E726" s="33" t="s">
        <v>229</v>
      </c>
      <c r="F726" s="32">
        <v>68416</v>
      </c>
      <c r="G726" s="18">
        <f t="shared" si="97"/>
        <v>0.06699470884003744</v>
      </c>
      <c r="H726" s="242">
        <v>4583.51</v>
      </c>
      <c r="I726" s="259">
        <v>3122</v>
      </c>
      <c r="J726" s="9">
        <v>802</v>
      </c>
      <c r="K726" s="49"/>
      <c r="L726" s="9">
        <v>802</v>
      </c>
      <c r="M726" s="49"/>
      <c r="N726" s="49"/>
      <c r="O726" s="49"/>
      <c r="P726" s="49"/>
      <c r="Q726" s="49"/>
      <c r="R726" s="49"/>
      <c r="S726" s="49"/>
      <c r="T726" s="49"/>
      <c r="U726" s="49"/>
      <c r="V726" s="49"/>
      <c r="W726" s="49">
        <v>802</v>
      </c>
      <c r="X726" s="40">
        <f t="shared" si="85"/>
        <v>0</v>
      </c>
    </row>
    <row r="727" spans="2:24" ht="63">
      <c r="B727" s="295"/>
      <c r="C727" s="295"/>
      <c r="D727" s="292"/>
      <c r="E727" s="33" t="s">
        <v>230</v>
      </c>
      <c r="F727" s="32">
        <v>97504</v>
      </c>
      <c r="G727" s="18">
        <f t="shared" si="97"/>
        <v>0.543865379881851</v>
      </c>
      <c r="H727" s="242">
        <v>53029.05</v>
      </c>
      <c r="I727" s="255">
        <v>3142</v>
      </c>
      <c r="J727" s="9">
        <v>15280.66</v>
      </c>
      <c r="K727" s="49"/>
      <c r="L727" s="9">
        <v>15280.66</v>
      </c>
      <c r="M727" s="49"/>
      <c r="N727" s="49"/>
      <c r="O727" s="49"/>
      <c r="P727" s="49"/>
      <c r="Q727" s="49"/>
      <c r="R727" s="49"/>
      <c r="S727" s="49"/>
      <c r="T727" s="49"/>
      <c r="U727" s="49"/>
      <c r="V727" s="49"/>
      <c r="W727" s="49">
        <v>15280.66</v>
      </c>
      <c r="X727" s="40">
        <f t="shared" si="85"/>
        <v>0</v>
      </c>
    </row>
    <row r="728" spans="2:24" ht="63">
      <c r="B728" s="295"/>
      <c r="C728" s="295"/>
      <c r="D728" s="292"/>
      <c r="E728" s="33" t="s">
        <v>888</v>
      </c>
      <c r="F728" s="32">
        <v>156612</v>
      </c>
      <c r="G728" s="18">
        <f t="shared" si="97"/>
        <v>0.472631215998774</v>
      </c>
      <c r="H728" s="242">
        <v>74019.72</v>
      </c>
      <c r="I728" s="259">
        <v>3142</v>
      </c>
      <c r="J728" s="9">
        <v>32696.11</v>
      </c>
      <c r="K728" s="49"/>
      <c r="L728" s="9">
        <v>32696.11</v>
      </c>
      <c r="M728" s="49"/>
      <c r="N728" s="49"/>
      <c r="O728" s="49"/>
      <c r="P728" s="49"/>
      <c r="Q728" s="49"/>
      <c r="R728" s="49"/>
      <c r="S728" s="49"/>
      <c r="T728" s="49"/>
      <c r="U728" s="49"/>
      <c r="V728" s="49"/>
      <c r="W728" s="49">
        <v>32696.11</v>
      </c>
      <c r="X728" s="40">
        <f t="shared" si="85"/>
        <v>0</v>
      </c>
    </row>
    <row r="729" spans="2:24" ht="47.25">
      <c r="B729" s="295"/>
      <c r="C729" s="295"/>
      <c r="D729" s="292"/>
      <c r="E729" s="33" t="s">
        <v>889</v>
      </c>
      <c r="F729" s="32">
        <v>8707339</v>
      </c>
      <c r="G729" s="18">
        <f t="shared" si="97"/>
        <v>0.27611726154224614</v>
      </c>
      <c r="H729" s="242">
        <v>2404246.6</v>
      </c>
      <c r="I729" s="259">
        <v>3142</v>
      </c>
      <c r="J729" s="9">
        <v>701896.79</v>
      </c>
      <c r="K729" s="49"/>
      <c r="L729" s="9">
        <v>701896.79</v>
      </c>
      <c r="M729" s="49"/>
      <c r="N729" s="49"/>
      <c r="O729" s="49"/>
      <c r="P729" s="49"/>
      <c r="Q729" s="49"/>
      <c r="R729" s="49"/>
      <c r="S729" s="49"/>
      <c r="T729" s="49"/>
      <c r="U729" s="49"/>
      <c r="V729" s="49"/>
      <c r="W729" s="49">
        <v>701896.79</v>
      </c>
      <c r="X729" s="40">
        <f t="shared" si="85"/>
        <v>0</v>
      </c>
    </row>
    <row r="730" spans="2:24" ht="63">
      <c r="B730" s="295"/>
      <c r="C730" s="295"/>
      <c r="D730" s="292"/>
      <c r="E730" s="33" t="s">
        <v>179</v>
      </c>
      <c r="F730" s="32">
        <v>1227000</v>
      </c>
      <c r="G730" s="18">
        <f t="shared" si="97"/>
        <v>0.5783911980440097</v>
      </c>
      <c r="H730" s="242">
        <v>709686</v>
      </c>
      <c r="I730" s="255">
        <v>3142</v>
      </c>
      <c r="J730" s="9">
        <v>221474.42</v>
      </c>
      <c r="K730" s="49"/>
      <c r="L730" s="9">
        <v>221474.42</v>
      </c>
      <c r="M730" s="49"/>
      <c r="N730" s="49"/>
      <c r="O730" s="49"/>
      <c r="P730" s="49"/>
      <c r="Q730" s="49"/>
      <c r="R730" s="49"/>
      <c r="S730" s="49"/>
      <c r="T730" s="49"/>
      <c r="U730" s="49"/>
      <c r="V730" s="49"/>
      <c r="W730" s="49">
        <v>221474.42</v>
      </c>
      <c r="X730" s="40">
        <f t="shared" si="85"/>
        <v>0</v>
      </c>
    </row>
    <row r="731" spans="2:24" ht="47.25">
      <c r="B731" s="295"/>
      <c r="C731" s="295"/>
      <c r="D731" s="292"/>
      <c r="E731" s="33" t="s">
        <v>180</v>
      </c>
      <c r="F731" s="32">
        <v>81916</v>
      </c>
      <c r="G731" s="18">
        <f t="shared" si="97"/>
        <v>0.2755743688656672</v>
      </c>
      <c r="H731" s="242">
        <v>22573.95</v>
      </c>
      <c r="I731" s="259">
        <v>3142</v>
      </c>
      <c r="J731" s="9">
        <v>3222.05</v>
      </c>
      <c r="K731" s="49"/>
      <c r="L731" s="9">
        <v>3222.05</v>
      </c>
      <c r="M731" s="49"/>
      <c r="N731" s="49"/>
      <c r="O731" s="49"/>
      <c r="P731" s="49"/>
      <c r="Q731" s="49"/>
      <c r="R731" s="49"/>
      <c r="S731" s="49"/>
      <c r="T731" s="49"/>
      <c r="U731" s="49"/>
      <c r="V731" s="49"/>
      <c r="W731" s="49">
        <v>3222.05</v>
      </c>
      <c r="X731" s="40">
        <f t="shared" si="85"/>
        <v>0</v>
      </c>
    </row>
    <row r="732" spans="2:24" ht="78.75">
      <c r="B732" s="295"/>
      <c r="C732" s="295"/>
      <c r="D732" s="292"/>
      <c r="E732" s="33" t="s">
        <v>153</v>
      </c>
      <c r="F732" s="32">
        <v>512000</v>
      </c>
      <c r="G732" s="18">
        <f t="shared" si="97"/>
        <v>0.966796875</v>
      </c>
      <c r="H732" s="242">
        <v>495000</v>
      </c>
      <c r="I732" s="259">
        <v>3142</v>
      </c>
      <c r="J732" s="9">
        <v>17000</v>
      </c>
      <c r="K732" s="49"/>
      <c r="L732" s="9">
        <v>17000</v>
      </c>
      <c r="M732" s="49"/>
      <c r="N732" s="49"/>
      <c r="O732" s="49"/>
      <c r="P732" s="49"/>
      <c r="Q732" s="49"/>
      <c r="R732" s="49"/>
      <c r="S732" s="49"/>
      <c r="T732" s="49"/>
      <c r="U732" s="49"/>
      <c r="V732" s="49"/>
      <c r="W732" s="49">
        <v>17000</v>
      </c>
      <c r="X732" s="40">
        <f t="shared" si="85"/>
        <v>0</v>
      </c>
    </row>
    <row r="733" spans="2:24" ht="31.5">
      <c r="B733" s="295"/>
      <c r="C733" s="295"/>
      <c r="D733" s="292"/>
      <c r="E733" s="33" t="s">
        <v>435</v>
      </c>
      <c r="F733" s="32"/>
      <c r="G733" s="18"/>
      <c r="H733" s="242"/>
      <c r="I733" s="255">
        <v>3142</v>
      </c>
      <c r="J733" s="9">
        <v>388000</v>
      </c>
      <c r="K733" s="49"/>
      <c r="L733" s="49"/>
      <c r="M733" s="49"/>
      <c r="N733" s="49"/>
      <c r="O733" s="49"/>
      <c r="P733" s="49">
        <v>194000</v>
      </c>
      <c r="Q733" s="49">
        <v>194000</v>
      </c>
      <c r="R733" s="49"/>
      <c r="S733" s="49"/>
      <c r="T733" s="49"/>
      <c r="U733" s="49"/>
      <c r="V733" s="49"/>
      <c r="W733" s="49">
        <f>154634</f>
        <v>154634</v>
      </c>
      <c r="X733" s="40">
        <f t="shared" si="85"/>
        <v>233366</v>
      </c>
    </row>
    <row r="734" spans="2:24" ht="31.5">
      <c r="B734" s="295"/>
      <c r="C734" s="295"/>
      <c r="D734" s="292"/>
      <c r="E734" s="33" t="s">
        <v>476</v>
      </c>
      <c r="F734" s="32"/>
      <c r="G734" s="18"/>
      <c r="H734" s="242"/>
      <c r="I734" s="259">
        <v>3142</v>
      </c>
      <c r="J734" s="9">
        <v>318000</v>
      </c>
      <c r="K734" s="49"/>
      <c r="L734" s="49"/>
      <c r="M734" s="49"/>
      <c r="N734" s="49"/>
      <c r="O734" s="49">
        <v>159000</v>
      </c>
      <c r="P734" s="49">
        <v>159000</v>
      </c>
      <c r="Q734" s="49"/>
      <c r="R734" s="49"/>
      <c r="S734" s="49"/>
      <c r="T734" s="49"/>
      <c r="U734" s="49"/>
      <c r="V734" s="49"/>
      <c r="W734" s="49">
        <f>152267.4+1073.54+111690.6+34392</f>
        <v>299423.54000000004</v>
      </c>
      <c r="X734" s="40">
        <f t="shared" si="85"/>
        <v>18576.459999999963</v>
      </c>
    </row>
    <row r="735" spans="2:24" ht="47.25">
      <c r="B735" s="295"/>
      <c r="C735" s="295"/>
      <c r="D735" s="292"/>
      <c r="E735" s="33" t="s">
        <v>477</v>
      </c>
      <c r="F735" s="32"/>
      <c r="G735" s="18"/>
      <c r="H735" s="242"/>
      <c r="I735" s="259">
        <v>3142</v>
      </c>
      <c r="J735" s="9">
        <f>338000-14000</f>
        <v>324000</v>
      </c>
      <c r="K735" s="49"/>
      <c r="L735" s="49"/>
      <c r="M735" s="49"/>
      <c r="N735" s="49"/>
      <c r="O735" s="49">
        <v>10000</v>
      </c>
      <c r="P735" s="49">
        <v>100000</v>
      </c>
      <c r="Q735" s="49">
        <v>100000</v>
      </c>
      <c r="R735" s="49">
        <v>128000</v>
      </c>
      <c r="S735" s="49">
        <v>-14000</v>
      </c>
      <c r="T735" s="49"/>
      <c r="U735" s="49"/>
      <c r="V735" s="49"/>
      <c r="W735" s="49">
        <f>9823.15+153567.6</f>
        <v>163390.75</v>
      </c>
      <c r="X735" s="40">
        <f t="shared" si="85"/>
        <v>160609.25</v>
      </c>
    </row>
    <row r="736" spans="2:24" ht="31.5">
      <c r="B736" s="295"/>
      <c r="C736" s="295"/>
      <c r="D736" s="292"/>
      <c r="E736" s="33" t="s">
        <v>478</v>
      </c>
      <c r="F736" s="32"/>
      <c r="G736" s="18"/>
      <c r="H736" s="242"/>
      <c r="I736" s="255">
        <v>3142</v>
      </c>
      <c r="J736" s="9">
        <f>412000-20000</f>
        <v>392000</v>
      </c>
      <c r="K736" s="49"/>
      <c r="L736" s="49"/>
      <c r="M736" s="49"/>
      <c r="N736" s="49"/>
      <c r="O736" s="49">
        <v>10000</v>
      </c>
      <c r="P736" s="49">
        <v>100000</v>
      </c>
      <c r="Q736" s="49">
        <v>100000</v>
      </c>
      <c r="R736" s="49">
        <v>100000</v>
      </c>
      <c r="S736" s="49">
        <f>102000-20000</f>
        <v>82000</v>
      </c>
      <c r="T736" s="49"/>
      <c r="U736" s="49"/>
      <c r="V736" s="49"/>
      <c r="W736" s="49">
        <f>9823.15+180573.6</f>
        <v>190396.75</v>
      </c>
      <c r="X736" s="40">
        <f t="shared" si="85"/>
        <v>201603.25</v>
      </c>
    </row>
    <row r="737" spans="2:24" ht="31.5">
      <c r="B737" s="295"/>
      <c r="C737" s="295"/>
      <c r="D737" s="292"/>
      <c r="E737" s="33" t="s">
        <v>479</v>
      </c>
      <c r="F737" s="32"/>
      <c r="G737" s="18"/>
      <c r="H737" s="242"/>
      <c r="I737" s="259">
        <v>3142</v>
      </c>
      <c r="J737" s="9">
        <f>125000+15000</f>
        <v>140000</v>
      </c>
      <c r="K737" s="49"/>
      <c r="L737" s="49"/>
      <c r="M737" s="49"/>
      <c r="N737" s="49"/>
      <c r="O737" s="49">
        <v>125000</v>
      </c>
      <c r="P737" s="49"/>
      <c r="Q737" s="49">
        <v>15000</v>
      </c>
      <c r="R737" s="49"/>
      <c r="S737" s="49"/>
      <c r="T737" s="49"/>
      <c r="U737" s="49"/>
      <c r="V737" s="49"/>
      <c r="W737" s="49">
        <f>2142+990+66772.1+16575</f>
        <v>86479.1</v>
      </c>
      <c r="X737" s="40">
        <f t="shared" si="85"/>
        <v>53520.899999999994</v>
      </c>
    </row>
    <row r="738" spans="2:24" ht="47.25">
      <c r="B738" s="295"/>
      <c r="C738" s="295"/>
      <c r="D738" s="292"/>
      <c r="E738" s="33" t="s">
        <v>480</v>
      </c>
      <c r="F738" s="32"/>
      <c r="G738" s="18"/>
      <c r="H738" s="242"/>
      <c r="I738" s="259">
        <v>3142</v>
      </c>
      <c r="J738" s="9">
        <f>41000+3000</f>
        <v>44000</v>
      </c>
      <c r="K738" s="49"/>
      <c r="L738" s="49"/>
      <c r="M738" s="49"/>
      <c r="N738" s="49"/>
      <c r="O738" s="49">
        <v>41000</v>
      </c>
      <c r="P738" s="49">
        <v>3000</v>
      </c>
      <c r="Q738" s="49"/>
      <c r="R738" s="49"/>
      <c r="S738" s="49"/>
      <c r="T738" s="49"/>
      <c r="U738" s="49"/>
      <c r="V738" s="49"/>
      <c r="W738" s="49">
        <f>41784</f>
        <v>41784</v>
      </c>
      <c r="X738" s="40">
        <f t="shared" si="85"/>
        <v>2216</v>
      </c>
    </row>
    <row r="739" spans="2:24" ht="47.25">
      <c r="B739" s="295"/>
      <c r="C739" s="295"/>
      <c r="D739" s="292"/>
      <c r="E739" s="33" t="s">
        <v>57</v>
      </c>
      <c r="F739" s="32"/>
      <c r="G739" s="18"/>
      <c r="H739" s="242"/>
      <c r="I739" s="259">
        <v>3142</v>
      </c>
      <c r="J739" s="9">
        <f>200000+205000</f>
        <v>405000</v>
      </c>
      <c r="K739" s="49"/>
      <c r="L739" s="49"/>
      <c r="M739" s="49"/>
      <c r="N739" s="49"/>
      <c r="O739" s="49"/>
      <c r="P739" s="49">
        <v>10000</v>
      </c>
      <c r="Q739" s="49">
        <v>95000</v>
      </c>
      <c r="R739" s="49">
        <v>95000</v>
      </c>
      <c r="S739" s="49">
        <v>205000</v>
      </c>
      <c r="T739" s="49"/>
      <c r="U739" s="49"/>
      <c r="V739" s="49"/>
      <c r="W739" s="49">
        <f>12891+90781+137521+2457.22</f>
        <v>243650.22</v>
      </c>
      <c r="X739" s="40">
        <f t="shared" si="85"/>
        <v>161349.78</v>
      </c>
    </row>
    <row r="740" spans="2:24" ht="47.25">
      <c r="B740" s="295"/>
      <c r="C740" s="295"/>
      <c r="D740" s="292"/>
      <c r="E740" s="33" t="s">
        <v>489</v>
      </c>
      <c r="F740" s="32"/>
      <c r="G740" s="18"/>
      <c r="H740" s="242"/>
      <c r="I740" s="259">
        <v>3210</v>
      </c>
      <c r="J740" s="9">
        <v>200000</v>
      </c>
      <c r="K740" s="49"/>
      <c r="L740" s="49"/>
      <c r="M740" s="49"/>
      <c r="N740" s="49"/>
      <c r="O740" s="49"/>
      <c r="P740" s="49">
        <v>60000</v>
      </c>
      <c r="Q740" s="49">
        <v>60000</v>
      </c>
      <c r="R740" s="49">
        <v>80000</v>
      </c>
      <c r="S740" s="49"/>
      <c r="T740" s="49"/>
      <c r="U740" s="49"/>
      <c r="V740" s="49"/>
      <c r="W740" s="49">
        <f>26222.94+75626.05</f>
        <v>101848.99</v>
      </c>
      <c r="X740" s="40">
        <f aca="true" t="shared" si="98" ref="X740:X803">K740+L740+M740+N740+O740+P740+Q740+R740+S740+T740-W740</f>
        <v>98151.01</v>
      </c>
    </row>
    <row r="741" spans="2:24" ht="47.25">
      <c r="B741" s="295"/>
      <c r="C741" s="295"/>
      <c r="D741" s="292"/>
      <c r="E741" s="10" t="s">
        <v>490</v>
      </c>
      <c r="F741" s="32"/>
      <c r="G741" s="18"/>
      <c r="H741" s="242"/>
      <c r="I741" s="259">
        <v>3210</v>
      </c>
      <c r="J741" s="9">
        <v>202000</v>
      </c>
      <c r="K741" s="49"/>
      <c r="L741" s="49"/>
      <c r="M741" s="49"/>
      <c r="N741" s="49"/>
      <c r="O741" s="49"/>
      <c r="P741" s="49">
        <v>60000</v>
      </c>
      <c r="Q741" s="49">
        <v>60000</v>
      </c>
      <c r="R741" s="49">
        <v>82000</v>
      </c>
      <c r="S741" s="49"/>
      <c r="T741" s="49"/>
      <c r="U741" s="49"/>
      <c r="V741" s="49"/>
      <c r="W741" s="49">
        <f>21733.71+49022.95</f>
        <v>70756.66</v>
      </c>
      <c r="X741" s="40">
        <f t="shared" si="98"/>
        <v>131243.34</v>
      </c>
    </row>
    <row r="742" spans="2:24" ht="47.25">
      <c r="B742" s="295"/>
      <c r="C742" s="295"/>
      <c r="D742" s="292"/>
      <c r="E742" s="10" t="s">
        <v>491</v>
      </c>
      <c r="F742" s="32"/>
      <c r="G742" s="18"/>
      <c r="H742" s="242"/>
      <c r="I742" s="255">
        <v>3210</v>
      </c>
      <c r="J742" s="9">
        <v>330000</v>
      </c>
      <c r="K742" s="49"/>
      <c r="L742" s="49"/>
      <c r="M742" s="49"/>
      <c r="N742" s="49"/>
      <c r="O742" s="49">
        <v>100000</v>
      </c>
      <c r="P742" s="49">
        <v>100000</v>
      </c>
      <c r="Q742" s="49">
        <v>130000</v>
      </c>
      <c r="R742" s="49"/>
      <c r="S742" s="49"/>
      <c r="T742" s="49"/>
      <c r="U742" s="49"/>
      <c r="V742" s="49"/>
      <c r="W742" s="49">
        <f>94840.2+28334.61+201223.97</f>
        <v>324398.78</v>
      </c>
      <c r="X742" s="40">
        <f t="shared" si="98"/>
        <v>5601.219999999972</v>
      </c>
    </row>
    <row r="743" spans="2:24" ht="47.25">
      <c r="B743" s="295"/>
      <c r="C743" s="295"/>
      <c r="D743" s="292"/>
      <c r="E743" s="10" t="s">
        <v>6</v>
      </c>
      <c r="F743" s="32"/>
      <c r="G743" s="18"/>
      <c r="H743" s="242"/>
      <c r="I743" s="259">
        <v>3210</v>
      </c>
      <c r="J743" s="9">
        <v>205000</v>
      </c>
      <c r="K743" s="49"/>
      <c r="L743" s="49"/>
      <c r="M743" s="49"/>
      <c r="N743" s="49"/>
      <c r="O743" s="49"/>
      <c r="P743" s="49">
        <v>60000</v>
      </c>
      <c r="Q743" s="49">
        <v>100000</v>
      </c>
      <c r="R743" s="49">
        <v>45000</v>
      </c>
      <c r="S743" s="49"/>
      <c r="T743" s="49"/>
      <c r="U743" s="49"/>
      <c r="V743" s="49"/>
      <c r="W743" s="49">
        <f>57503.86+34335.01</f>
        <v>91838.87</v>
      </c>
      <c r="X743" s="40">
        <f t="shared" si="98"/>
        <v>113161.13</v>
      </c>
    </row>
    <row r="744" spans="2:24" ht="47.25">
      <c r="B744" s="295"/>
      <c r="C744" s="295"/>
      <c r="D744" s="292"/>
      <c r="E744" s="10" t="s">
        <v>7</v>
      </c>
      <c r="F744" s="32"/>
      <c r="G744" s="18"/>
      <c r="H744" s="242"/>
      <c r="I744" s="259">
        <v>3142</v>
      </c>
      <c r="J744" s="9">
        <f>50000+66000+84000</f>
        <v>200000</v>
      </c>
      <c r="K744" s="49"/>
      <c r="L744" s="49"/>
      <c r="M744" s="49"/>
      <c r="N744" s="49"/>
      <c r="O744" s="49"/>
      <c r="P744" s="49">
        <v>30000</v>
      </c>
      <c r="Q744" s="49"/>
      <c r="R744" s="49">
        <v>20000</v>
      </c>
      <c r="S744" s="49">
        <f>66000+84000</f>
        <v>150000</v>
      </c>
      <c r="T744" s="49"/>
      <c r="U744" s="49"/>
      <c r="V744" s="49"/>
      <c r="W744" s="49"/>
      <c r="X744" s="40">
        <f t="shared" si="98"/>
        <v>200000</v>
      </c>
    </row>
    <row r="745" spans="2:24" ht="31.5" hidden="1">
      <c r="B745" s="295"/>
      <c r="C745" s="295"/>
      <c r="D745" s="292"/>
      <c r="E745" s="10" t="s">
        <v>8</v>
      </c>
      <c r="F745" s="32"/>
      <c r="G745" s="18"/>
      <c r="H745" s="242"/>
      <c r="I745" s="255">
        <v>3122</v>
      </c>
      <c r="J745" s="9">
        <f>300000-300000</f>
        <v>0</v>
      </c>
      <c r="K745" s="49"/>
      <c r="L745" s="49"/>
      <c r="M745" s="49"/>
      <c r="N745" s="49"/>
      <c r="O745" s="49"/>
      <c r="P745" s="49"/>
      <c r="Q745" s="49"/>
      <c r="R745" s="49"/>
      <c r="S745" s="49"/>
      <c r="T745" s="49"/>
      <c r="U745" s="49">
        <f>300000-300000</f>
        <v>0</v>
      </c>
      <c r="V745" s="49"/>
      <c r="W745" s="49"/>
      <c r="X745" s="40">
        <f t="shared" si="98"/>
        <v>0</v>
      </c>
    </row>
    <row r="746" spans="2:24" ht="47.25">
      <c r="B746" s="295"/>
      <c r="C746" s="295"/>
      <c r="D746" s="292"/>
      <c r="E746" s="10" t="s">
        <v>9</v>
      </c>
      <c r="F746" s="32"/>
      <c r="G746" s="18"/>
      <c r="H746" s="242"/>
      <c r="I746" s="259">
        <v>3142</v>
      </c>
      <c r="J746" s="9">
        <v>115000</v>
      </c>
      <c r="K746" s="49"/>
      <c r="L746" s="49"/>
      <c r="M746" s="49"/>
      <c r="N746" s="49"/>
      <c r="O746" s="49"/>
      <c r="P746" s="49"/>
      <c r="Q746" s="49"/>
      <c r="R746" s="49">
        <v>115000</v>
      </c>
      <c r="S746" s="49"/>
      <c r="T746" s="49"/>
      <c r="U746" s="49"/>
      <c r="V746" s="49"/>
      <c r="W746" s="49"/>
      <c r="X746" s="40">
        <f t="shared" si="98"/>
        <v>115000</v>
      </c>
    </row>
    <row r="747" spans="2:24" ht="63">
      <c r="B747" s="295"/>
      <c r="C747" s="295"/>
      <c r="D747" s="292"/>
      <c r="E747" s="130" t="s">
        <v>10</v>
      </c>
      <c r="F747" s="32">
        <v>1017000</v>
      </c>
      <c r="G747" s="18">
        <f t="shared" si="97"/>
        <v>0.983284169124877</v>
      </c>
      <c r="H747" s="242">
        <v>1000000</v>
      </c>
      <c r="I747" s="259">
        <v>3142</v>
      </c>
      <c r="J747" s="9">
        <v>1000000</v>
      </c>
      <c r="K747" s="49"/>
      <c r="L747" s="49"/>
      <c r="M747" s="49"/>
      <c r="N747" s="49"/>
      <c r="O747" s="49">
        <v>100000</v>
      </c>
      <c r="P747" s="49">
        <v>300000</v>
      </c>
      <c r="Q747" s="49">
        <f>300000+100000</f>
        <v>400000</v>
      </c>
      <c r="R747" s="49">
        <f>300000-100000</f>
        <v>200000</v>
      </c>
      <c r="S747" s="49"/>
      <c r="T747" s="49"/>
      <c r="U747" s="49"/>
      <c r="V747" s="49"/>
      <c r="W747" s="49">
        <f>8366.87+480822.8+286881.6+4095.48+160331.8+6028.91+34400.2</f>
        <v>980927.66</v>
      </c>
      <c r="X747" s="40">
        <f t="shared" si="98"/>
        <v>19072.339999999967</v>
      </c>
    </row>
    <row r="748" spans="2:24" ht="47.25">
      <c r="B748" s="295"/>
      <c r="C748" s="295"/>
      <c r="D748" s="292"/>
      <c r="E748" s="130" t="s">
        <v>11</v>
      </c>
      <c r="F748" s="66">
        <v>300000</v>
      </c>
      <c r="G748" s="18">
        <f t="shared" si="97"/>
        <v>1</v>
      </c>
      <c r="H748" s="218">
        <v>300000</v>
      </c>
      <c r="I748" s="255">
        <v>3122</v>
      </c>
      <c r="J748" s="66">
        <v>300000</v>
      </c>
      <c r="K748" s="49"/>
      <c r="L748" s="49"/>
      <c r="M748" s="49"/>
      <c r="N748" s="49"/>
      <c r="O748" s="49"/>
      <c r="P748" s="49"/>
      <c r="Q748" s="49"/>
      <c r="R748" s="49"/>
      <c r="S748" s="49">
        <v>100000</v>
      </c>
      <c r="T748" s="49">
        <v>100000</v>
      </c>
      <c r="U748" s="49">
        <v>100000</v>
      </c>
      <c r="V748" s="49"/>
      <c r="W748" s="49"/>
      <c r="X748" s="40">
        <f t="shared" si="98"/>
        <v>200000</v>
      </c>
    </row>
    <row r="749" spans="2:24" ht="63">
      <c r="B749" s="295"/>
      <c r="C749" s="295"/>
      <c r="D749" s="292"/>
      <c r="E749" s="130" t="s">
        <v>12</v>
      </c>
      <c r="F749" s="66">
        <v>232210</v>
      </c>
      <c r="G749" s="18">
        <f t="shared" si="97"/>
        <v>0.0843159209336376</v>
      </c>
      <c r="H749" s="218">
        <v>19579</v>
      </c>
      <c r="I749" s="259">
        <v>3142</v>
      </c>
      <c r="J749" s="66">
        <v>19579</v>
      </c>
      <c r="K749" s="49"/>
      <c r="L749" s="49"/>
      <c r="M749" s="49"/>
      <c r="N749" s="49"/>
      <c r="O749" s="49">
        <v>19579</v>
      </c>
      <c r="P749" s="49"/>
      <c r="Q749" s="49"/>
      <c r="R749" s="49"/>
      <c r="S749" s="49"/>
      <c r="T749" s="49"/>
      <c r="U749" s="49"/>
      <c r="V749" s="49"/>
      <c r="W749" s="49"/>
      <c r="X749" s="40">
        <f t="shared" si="98"/>
        <v>19579</v>
      </c>
    </row>
    <row r="750" spans="2:24" ht="31.5">
      <c r="B750" s="295"/>
      <c r="C750" s="295"/>
      <c r="D750" s="292"/>
      <c r="E750" s="130" t="s">
        <v>207</v>
      </c>
      <c r="F750" s="66">
        <v>49684</v>
      </c>
      <c r="G750" s="18">
        <f t="shared" si="97"/>
        <v>0.8862750583688914</v>
      </c>
      <c r="H750" s="218">
        <v>44033.69</v>
      </c>
      <c r="I750" s="259">
        <v>3142</v>
      </c>
      <c r="J750" s="66">
        <v>24000</v>
      </c>
      <c r="K750" s="49"/>
      <c r="L750" s="49"/>
      <c r="M750" s="49"/>
      <c r="N750" s="49"/>
      <c r="O750" s="49"/>
      <c r="P750" s="49"/>
      <c r="Q750" s="49">
        <v>24000</v>
      </c>
      <c r="R750" s="49"/>
      <c r="S750" s="49"/>
      <c r="T750" s="49"/>
      <c r="U750" s="49"/>
      <c r="V750" s="49"/>
      <c r="W750" s="49"/>
      <c r="X750" s="40">
        <f t="shared" si="98"/>
        <v>24000</v>
      </c>
    </row>
    <row r="751" spans="2:24" ht="78.75">
      <c r="B751" s="295"/>
      <c r="C751" s="295"/>
      <c r="D751" s="292"/>
      <c r="E751" s="130" t="s">
        <v>361</v>
      </c>
      <c r="F751" s="66">
        <v>70000</v>
      </c>
      <c r="G751" s="18">
        <f t="shared" si="97"/>
        <v>1</v>
      </c>
      <c r="H751" s="218">
        <v>70000</v>
      </c>
      <c r="I751" s="255">
        <v>3142</v>
      </c>
      <c r="J751" s="66">
        <v>70000</v>
      </c>
      <c r="K751" s="49"/>
      <c r="L751" s="49"/>
      <c r="M751" s="49"/>
      <c r="N751" s="49"/>
      <c r="O751" s="49"/>
      <c r="P751" s="49"/>
      <c r="Q751" s="49">
        <v>70000</v>
      </c>
      <c r="R751" s="49"/>
      <c r="S751" s="49"/>
      <c r="T751" s="49"/>
      <c r="U751" s="49"/>
      <c r="V751" s="49"/>
      <c r="W751" s="49">
        <v>26175</v>
      </c>
      <c r="X751" s="40">
        <f t="shared" si="98"/>
        <v>43825</v>
      </c>
    </row>
    <row r="752" spans="2:24" ht="78.75">
      <c r="B752" s="295"/>
      <c r="C752" s="295"/>
      <c r="D752" s="292"/>
      <c r="E752" s="130" t="s">
        <v>360</v>
      </c>
      <c r="F752" s="66">
        <v>80000</v>
      </c>
      <c r="G752" s="18">
        <f t="shared" si="97"/>
        <v>1</v>
      </c>
      <c r="H752" s="218">
        <v>80000</v>
      </c>
      <c r="I752" s="259">
        <v>3142</v>
      </c>
      <c r="J752" s="66">
        <v>80000</v>
      </c>
      <c r="K752" s="49"/>
      <c r="L752" s="49"/>
      <c r="M752" s="49"/>
      <c r="N752" s="49"/>
      <c r="O752" s="49"/>
      <c r="P752" s="49"/>
      <c r="Q752" s="49">
        <v>80000</v>
      </c>
      <c r="R752" s="49"/>
      <c r="S752" s="49"/>
      <c r="T752" s="49"/>
      <c r="U752" s="49"/>
      <c r="V752" s="49"/>
      <c r="W752" s="49">
        <v>32863.8</v>
      </c>
      <c r="X752" s="40">
        <f t="shared" si="98"/>
        <v>47136.2</v>
      </c>
    </row>
    <row r="753" spans="2:24" ht="47.25">
      <c r="B753" s="295"/>
      <c r="C753" s="295"/>
      <c r="D753" s="292"/>
      <c r="E753" s="130" t="s">
        <v>474</v>
      </c>
      <c r="F753" s="66">
        <v>97504</v>
      </c>
      <c r="G753" s="18">
        <f t="shared" si="97"/>
        <v>0.543865379881851</v>
      </c>
      <c r="H753" s="218">
        <v>53029.05</v>
      </c>
      <c r="I753" s="259">
        <v>3142</v>
      </c>
      <c r="J753" s="66">
        <f>65000+23000</f>
        <v>88000</v>
      </c>
      <c r="K753" s="49"/>
      <c r="L753" s="49"/>
      <c r="M753" s="49"/>
      <c r="N753" s="49"/>
      <c r="O753" s="49">
        <v>30000</v>
      </c>
      <c r="P753" s="49">
        <v>35000</v>
      </c>
      <c r="Q753" s="49">
        <v>23000</v>
      </c>
      <c r="R753" s="49"/>
      <c r="S753" s="49"/>
      <c r="T753" s="49"/>
      <c r="U753" s="49"/>
      <c r="V753" s="49"/>
      <c r="W753" s="49">
        <f>8721.36+8721.36-8721.36+29673.6</f>
        <v>38394.96</v>
      </c>
      <c r="X753" s="40">
        <f t="shared" si="98"/>
        <v>49605.04</v>
      </c>
    </row>
    <row r="754" spans="2:24" ht="47.25">
      <c r="B754" s="295"/>
      <c r="C754" s="295"/>
      <c r="D754" s="292"/>
      <c r="E754" s="130" t="s">
        <v>475</v>
      </c>
      <c r="F754" s="66">
        <v>156612</v>
      </c>
      <c r="G754" s="18">
        <f t="shared" si="97"/>
        <v>0.47263108829463896</v>
      </c>
      <c r="H754" s="218">
        <v>74019.7</v>
      </c>
      <c r="I754" s="255">
        <v>3142</v>
      </c>
      <c r="J754" s="66">
        <f>115000+3000</f>
        <v>118000</v>
      </c>
      <c r="K754" s="49"/>
      <c r="L754" s="49"/>
      <c r="M754" s="49"/>
      <c r="N754" s="49"/>
      <c r="O754" s="49">
        <v>57500</v>
      </c>
      <c r="P754" s="49">
        <v>57500</v>
      </c>
      <c r="Q754" s="49">
        <v>3000</v>
      </c>
      <c r="R754" s="49"/>
      <c r="S754" s="49"/>
      <c r="T754" s="49"/>
      <c r="U754" s="49"/>
      <c r="V754" s="49"/>
      <c r="W754" s="49">
        <f>13655.04+13655.04-13655.04+28557.6</f>
        <v>42212.64</v>
      </c>
      <c r="X754" s="40">
        <f t="shared" si="98"/>
        <v>75787.36</v>
      </c>
    </row>
    <row r="755" spans="2:24" ht="47.25">
      <c r="B755" s="295"/>
      <c r="C755" s="295"/>
      <c r="D755" s="292"/>
      <c r="E755" s="130" t="s">
        <v>433</v>
      </c>
      <c r="F755" s="66">
        <v>65770</v>
      </c>
      <c r="G755" s="18">
        <f t="shared" si="97"/>
        <v>0.3497035122396229</v>
      </c>
      <c r="H755" s="218">
        <v>23000</v>
      </c>
      <c r="I755" s="259">
        <v>3142</v>
      </c>
      <c r="J755" s="66">
        <v>29000</v>
      </c>
      <c r="K755" s="49"/>
      <c r="L755" s="49"/>
      <c r="M755" s="49"/>
      <c r="N755" s="49"/>
      <c r="O755" s="49"/>
      <c r="P755" s="49">
        <v>29000</v>
      </c>
      <c r="Q755" s="49"/>
      <c r="R755" s="49"/>
      <c r="S755" s="49"/>
      <c r="T755" s="49"/>
      <c r="U755" s="49"/>
      <c r="V755" s="49"/>
      <c r="W755" s="49">
        <f>13616.4</f>
        <v>13616.4</v>
      </c>
      <c r="X755" s="40">
        <f t="shared" si="98"/>
        <v>15383.6</v>
      </c>
    </row>
    <row r="756" spans="2:24" ht="47.25">
      <c r="B756" s="295"/>
      <c r="C756" s="295"/>
      <c r="D756" s="292"/>
      <c r="E756" s="130" t="s">
        <v>437</v>
      </c>
      <c r="F756" s="66">
        <v>1227000</v>
      </c>
      <c r="G756" s="18">
        <f t="shared" si="97"/>
        <v>0.5783911980440097</v>
      </c>
      <c r="H756" s="218">
        <v>709686</v>
      </c>
      <c r="I756" s="259">
        <v>3142</v>
      </c>
      <c r="J756" s="66">
        <v>209686</v>
      </c>
      <c r="K756" s="49"/>
      <c r="L756" s="49"/>
      <c r="M756" s="49"/>
      <c r="N756" s="49"/>
      <c r="O756" s="49">
        <v>209686</v>
      </c>
      <c r="P756" s="49"/>
      <c r="Q756" s="49"/>
      <c r="R756" s="49"/>
      <c r="S756" s="49"/>
      <c r="T756" s="49"/>
      <c r="U756" s="49"/>
      <c r="V756" s="49"/>
      <c r="W756" s="49"/>
      <c r="X756" s="40">
        <f t="shared" si="98"/>
        <v>209686</v>
      </c>
    </row>
    <row r="757" spans="2:24" ht="47.25">
      <c r="B757" s="295"/>
      <c r="C757" s="295"/>
      <c r="D757" s="292"/>
      <c r="E757" s="130" t="s">
        <v>812</v>
      </c>
      <c r="F757" s="66">
        <v>579976</v>
      </c>
      <c r="G757" s="18">
        <f t="shared" si="97"/>
        <v>0.9983171717450378</v>
      </c>
      <c r="H757" s="218">
        <v>579000</v>
      </c>
      <c r="I757" s="255">
        <v>3142</v>
      </c>
      <c r="J757" s="66">
        <v>579000</v>
      </c>
      <c r="K757" s="49"/>
      <c r="L757" s="49"/>
      <c r="M757" s="49"/>
      <c r="N757" s="49"/>
      <c r="O757" s="49"/>
      <c r="P757" s="49">
        <v>579000</v>
      </c>
      <c r="Q757" s="49"/>
      <c r="R757" s="49"/>
      <c r="S757" s="49"/>
      <c r="T757" s="49"/>
      <c r="U757" s="49"/>
      <c r="V757" s="49"/>
      <c r="W757" s="49">
        <f>509374.8+7546.18</f>
        <v>516920.98</v>
      </c>
      <c r="X757" s="40">
        <f t="shared" si="98"/>
        <v>62079.02000000002</v>
      </c>
    </row>
    <row r="758" spans="2:24" ht="94.5">
      <c r="B758" s="295"/>
      <c r="C758" s="295"/>
      <c r="D758" s="292"/>
      <c r="E758" s="130" t="s">
        <v>813</v>
      </c>
      <c r="F758" s="66">
        <v>661469</v>
      </c>
      <c r="G758" s="18">
        <f t="shared" si="97"/>
        <v>0.030210788411852985</v>
      </c>
      <c r="H758" s="218">
        <v>19983.5</v>
      </c>
      <c r="I758" s="259">
        <v>3142</v>
      </c>
      <c r="J758" s="66">
        <v>14000</v>
      </c>
      <c r="K758" s="49"/>
      <c r="L758" s="49"/>
      <c r="M758" s="49"/>
      <c r="N758" s="49"/>
      <c r="O758" s="49"/>
      <c r="P758" s="49">
        <v>14000</v>
      </c>
      <c r="Q758" s="49"/>
      <c r="R758" s="49"/>
      <c r="S758" s="49"/>
      <c r="T758" s="49"/>
      <c r="U758" s="49"/>
      <c r="V758" s="49"/>
      <c r="W758" s="49">
        <v>7410</v>
      </c>
      <c r="X758" s="40">
        <f t="shared" si="98"/>
        <v>6590</v>
      </c>
    </row>
    <row r="759" spans="2:24" ht="31.5">
      <c r="B759" s="295"/>
      <c r="C759" s="295"/>
      <c r="D759" s="292"/>
      <c r="E759" s="130" t="s">
        <v>840</v>
      </c>
      <c r="F759" s="66">
        <v>81916</v>
      </c>
      <c r="G759" s="18">
        <f t="shared" si="97"/>
        <v>0.2807754284877191</v>
      </c>
      <c r="H759" s="218">
        <v>23000</v>
      </c>
      <c r="I759" s="259">
        <v>3142</v>
      </c>
      <c r="J759" s="66">
        <v>23000</v>
      </c>
      <c r="K759" s="49"/>
      <c r="L759" s="49"/>
      <c r="M759" s="49"/>
      <c r="N759" s="49"/>
      <c r="O759" s="49"/>
      <c r="P759" s="49">
        <v>23000</v>
      </c>
      <c r="Q759" s="49"/>
      <c r="R759" s="49"/>
      <c r="S759" s="49"/>
      <c r="T759" s="49"/>
      <c r="U759" s="49"/>
      <c r="V759" s="49"/>
      <c r="W759" s="49">
        <f>10618</f>
        <v>10618</v>
      </c>
      <c r="X759" s="40">
        <f t="shared" si="98"/>
        <v>12382</v>
      </c>
    </row>
    <row r="760" spans="2:24" ht="63">
      <c r="B760" s="295"/>
      <c r="C760" s="295"/>
      <c r="D760" s="292"/>
      <c r="E760" s="130" t="s">
        <v>117</v>
      </c>
      <c r="F760" s="66">
        <v>652288</v>
      </c>
      <c r="G760" s="18">
        <f t="shared" si="97"/>
        <v>0.58687849538854</v>
      </c>
      <c r="H760" s="218">
        <v>382813.8</v>
      </c>
      <c r="I760" s="255">
        <v>3142</v>
      </c>
      <c r="J760" s="66">
        <f>400000+98000</f>
        <v>498000</v>
      </c>
      <c r="K760" s="49"/>
      <c r="L760" s="49"/>
      <c r="M760" s="49"/>
      <c r="N760" s="49"/>
      <c r="O760" s="49">
        <v>200000</v>
      </c>
      <c r="P760" s="49">
        <v>200000</v>
      </c>
      <c r="Q760" s="49"/>
      <c r="R760" s="49"/>
      <c r="S760" s="49">
        <v>98000</v>
      </c>
      <c r="T760" s="49"/>
      <c r="U760" s="49"/>
      <c r="V760" s="49"/>
      <c r="W760" s="49">
        <f>146902.97+2287.66+130928.68</f>
        <v>280119.31</v>
      </c>
      <c r="X760" s="40">
        <f t="shared" si="98"/>
        <v>217880.69</v>
      </c>
    </row>
    <row r="761" spans="2:24" ht="63">
      <c r="B761" s="295"/>
      <c r="C761" s="295"/>
      <c r="D761" s="292"/>
      <c r="E761" s="130" t="s">
        <v>737</v>
      </c>
      <c r="F761" s="66"/>
      <c r="G761" s="18"/>
      <c r="H761" s="218"/>
      <c r="I761" s="259">
        <v>3142</v>
      </c>
      <c r="J761" s="66">
        <v>50000</v>
      </c>
      <c r="K761" s="49"/>
      <c r="L761" s="49"/>
      <c r="M761" s="49"/>
      <c r="N761" s="49"/>
      <c r="O761" s="49"/>
      <c r="P761" s="49"/>
      <c r="Q761" s="49"/>
      <c r="R761" s="49">
        <v>50000</v>
      </c>
      <c r="S761" s="49"/>
      <c r="T761" s="49"/>
      <c r="U761" s="49"/>
      <c r="V761" s="49"/>
      <c r="W761" s="49"/>
      <c r="X761" s="40">
        <f t="shared" si="98"/>
        <v>50000</v>
      </c>
    </row>
    <row r="762" spans="2:24" ht="63">
      <c r="B762" s="295"/>
      <c r="C762" s="295"/>
      <c r="D762" s="292"/>
      <c r="E762" s="130" t="s">
        <v>597</v>
      </c>
      <c r="F762" s="66">
        <v>1012912</v>
      </c>
      <c r="G762" s="18">
        <f t="shared" si="97"/>
        <v>0.20831029743946172</v>
      </c>
      <c r="H762" s="218">
        <v>211000</v>
      </c>
      <c r="I762" s="259">
        <v>3122</v>
      </c>
      <c r="J762" s="66">
        <f>211000+32000+100000</f>
        <v>343000</v>
      </c>
      <c r="K762" s="49"/>
      <c r="L762" s="49"/>
      <c r="M762" s="49"/>
      <c r="N762" s="49"/>
      <c r="O762" s="49">
        <v>100000</v>
      </c>
      <c r="P762" s="49">
        <f>111000+32000</f>
        <v>143000</v>
      </c>
      <c r="Q762" s="49"/>
      <c r="R762" s="49">
        <v>100000</v>
      </c>
      <c r="S762" s="49"/>
      <c r="T762" s="49"/>
      <c r="U762" s="49"/>
      <c r="V762" s="49"/>
      <c r="W762" s="49">
        <f>166086+726+74112+3080.77+1267.07+90130.8+1775</f>
        <v>337177.64</v>
      </c>
      <c r="X762" s="40">
        <f t="shared" si="98"/>
        <v>5822.359999999986</v>
      </c>
    </row>
    <row r="763" spans="2:24" ht="78.75">
      <c r="B763" s="295"/>
      <c r="C763" s="295"/>
      <c r="D763" s="292"/>
      <c r="E763" s="10" t="s">
        <v>676</v>
      </c>
      <c r="F763" s="49"/>
      <c r="G763" s="18"/>
      <c r="H763" s="220"/>
      <c r="I763" s="255">
        <v>3142</v>
      </c>
      <c r="J763" s="21">
        <v>500000</v>
      </c>
      <c r="K763" s="49"/>
      <c r="L763" s="49"/>
      <c r="M763" s="49"/>
      <c r="N763" s="49"/>
      <c r="O763" s="49"/>
      <c r="P763" s="49">
        <v>70000</v>
      </c>
      <c r="Q763" s="49">
        <f>100000-100000</f>
        <v>0</v>
      </c>
      <c r="R763" s="49">
        <f>165000+100000</f>
        <v>265000</v>
      </c>
      <c r="S763" s="49">
        <v>165000</v>
      </c>
      <c r="T763" s="49"/>
      <c r="U763" s="49"/>
      <c r="V763" s="49"/>
      <c r="W763" s="49"/>
      <c r="X763" s="40">
        <f t="shared" si="98"/>
        <v>500000</v>
      </c>
    </row>
    <row r="764" spans="2:24" ht="94.5">
      <c r="B764" s="295"/>
      <c r="C764" s="295"/>
      <c r="D764" s="292"/>
      <c r="E764" s="10" t="s">
        <v>598</v>
      </c>
      <c r="F764" s="49"/>
      <c r="G764" s="18"/>
      <c r="H764" s="220"/>
      <c r="I764" s="259">
        <v>3210</v>
      </c>
      <c r="J764" s="21">
        <v>100000</v>
      </c>
      <c r="K764" s="49"/>
      <c r="L764" s="49"/>
      <c r="M764" s="49"/>
      <c r="N764" s="49"/>
      <c r="O764" s="49"/>
      <c r="P764" s="49"/>
      <c r="Q764" s="49">
        <v>100000</v>
      </c>
      <c r="R764" s="49"/>
      <c r="S764" s="49"/>
      <c r="T764" s="49"/>
      <c r="U764" s="49"/>
      <c r="V764" s="49"/>
      <c r="W764" s="49"/>
      <c r="X764" s="40">
        <f t="shared" si="98"/>
        <v>100000</v>
      </c>
    </row>
    <row r="765" spans="2:24" ht="47.25">
      <c r="B765" s="295"/>
      <c r="C765" s="295"/>
      <c r="D765" s="292"/>
      <c r="E765" s="10" t="s">
        <v>599</v>
      </c>
      <c r="F765" s="49">
        <v>198427</v>
      </c>
      <c r="G765" s="18">
        <f t="shared" si="97"/>
        <v>0.5342014947562579</v>
      </c>
      <c r="H765" s="220">
        <v>106000</v>
      </c>
      <c r="I765" s="259">
        <v>3210</v>
      </c>
      <c r="J765" s="21">
        <v>106000</v>
      </c>
      <c r="K765" s="49"/>
      <c r="L765" s="49"/>
      <c r="M765" s="49"/>
      <c r="N765" s="49"/>
      <c r="O765" s="49">
        <v>106000</v>
      </c>
      <c r="P765" s="49"/>
      <c r="Q765" s="49"/>
      <c r="R765" s="49"/>
      <c r="S765" s="49"/>
      <c r="T765" s="49"/>
      <c r="U765" s="49"/>
      <c r="V765" s="49"/>
      <c r="W765" s="49">
        <v>101033.52</v>
      </c>
      <c r="X765" s="40">
        <f t="shared" si="98"/>
        <v>4966.479999999996</v>
      </c>
    </row>
    <row r="766" spans="2:24" ht="15.75">
      <c r="B766" s="301" t="s">
        <v>879</v>
      </c>
      <c r="C766" s="301" t="s">
        <v>119</v>
      </c>
      <c r="D766" s="304" t="s">
        <v>231</v>
      </c>
      <c r="E766" s="94"/>
      <c r="F766" s="76"/>
      <c r="G766" s="18"/>
      <c r="H766" s="224"/>
      <c r="I766" s="255"/>
      <c r="J766" s="211">
        <f>SUM(J767:J771)</f>
        <v>1208797.73</v>
      </c>
      <c r="K766" s="211">
        <f aca="true" t="shared" si="99" ref="K766:W766">SUM(K767:K771)</f>
        <v>0</v>
      </c>
      <c r="L766" s="211">
        <f t="shared" si="99"/>
        <v>99297.73</v>
      </c>
      <c r="M766" s="211">
        <f t="shared" si="99"/>
        <v>0</v>
      </c>
      <c r="N766" s="211">
        <f t="shared" si="99"/>
        <v>0</v>
      </c>
      <c r="O766" s="211">
        <f t="shared" si="99"/>
        <v>561000</v>
      </c>
      <c r="P766" s="211">
        <f t="shared" si="99"/>
        <v>280000</v>
      </c>
      <c r="Q766" s="211">
        <f t="shared" si="99"/>
        <v>109000</v>
      </c>
      <c r="R766" s="211">
        <f t="shared" si="99"/>
        <v>122000</v>
      </c>
      <c r="S766" s="211">
        <f t="shared" si="99"/>
        <v>0</v>
      </c>
      <c r="T766" s="211">
        <f t="shared" si="99"/>
        <v>37500</v>
      </c>
      <c r="U766" s="211">
        <f t="shared" si="99"/>
        <v>0</v>
      </c>
      <c r="V766" s="211">
        <f t="shared" si="99"/>
        <v>0</v>
      </c>
      <c r="W766" s="211">
        <f t="shared" si="99"/>
        <v>758991.96</v>
      </c>
      <c r="X766" s="184">
        <f t="shared" si="98"/>
        <v>449805.77</v>
      </c>
    </row>
    <row r="767" spans="2:24" ht="94.5">
      <c r="B767" s="295"/>
      <c r="C767" s="295"/>
      <c r="D767" s="292"/>
      <c r="E767" s="12" t="s">
        <v>768</v>
      </c>
      <c r="F767" s="32">
        <v>848844</v>
      </c>
      <c r="G767" s="18">
        <f t="shared" si="97"/>
        <v>0.550741007770568</v>
      </c>
      <c r="H767" s="242">
        <v>467493.2</v>
      </c>
      <c r="I767" s="259">
        <v>3142</v>
      </c>
      <c r="J767" s="9">
        <v>349</v>
      </c>
      <c r="K767" s="49"/>
      <c r="L767" s="9">
        <v>349</v>
      </c>
      <c r="M767" s="49"/>
      <c r="N767" s="49"/>
      <c r="O767" s="49"/>
      <c r="P767" s="49"/>
      <c r="Q767" s="49"/>
      <c r="R767" s="49"/>
      <c r="S767" s="49"/>
      <c r="T767" s="49"/>
      <c r="U767" s="49"/>
      <c r="V767" s="49"/>
      <c r="W767" s="49">
        <v>349</v>
      </c>
      <c r="X767" s="40">
        <f t="shared" si="98"/>
        <v>0</v>
      </c>
    </row>
    <row r="768" spans="2:24" ht="78.75">
      <c r="B768" s="295"/>
      <c r="C768" s="295"/>
      <c r="D768" s="292"/>
      <c r="E768" s="33" t="s">
        <v>481</v>
      </c>
      <c r="F768" s="32">
        <v>661770</v>
      </c>
      <c r="G768" s="18">
        <f t="shared" si="97"/>
        <v>0.30206567236351</v>
      </c>
      <c r="H768" s="242">
        <v>199898</v>
      </c>
      <c r="I768" s="259">
        <v>3142</v>
      </c>
      <c r="J768" s="9">
        <v>98948.73</v>
      </c>
      <c r="K768" s="49"/>
      <c r="L768" s="9">
        <v>98948.73</v>
      </c>
      <c r="M768" s="49"/>
      <c r="N768" s="49"/>
      <c r="O768" s="49"/>
      <c r="P768" s="49"/>
      <c r="Q768" s="49"/>
      <c r="R768" s="49"/>
      <c r="S768" s="49"/>
      <c r="T768" s="49"/>
      <c r="U768" s="49"/>
      <c r="V768" s="49"/>
      <c r="W768" s="49">
        <v>98948.73</v>
      </c>
      <c r="X768" s="40">
        <f t="shared" si="98"/>
        <v>0</v>
      </c>
    </row>
    <row r="769" spans="2:24" ht="47.25">
      <c r="B769" s="295"/>
      <c r="C769" s="295"/>
      <c r="D769" s="292"/>
      <c r="E769" s="130" t="s">
        <v>600</v>
      </c>
      <c r="F769" s="66">
        <v>14330803</v>
      </c>
      <c r="G769" s="18">
        <f t="shared" si="97"/>
        <v>0.034610761169489246</v>
      </c>
      <c r="H769" s="218">
        <v>496000</v>
      </c>
      <c r="I769" s="259">
        <v>3122</v>
      </c>
      <c r="J769" s="66">
        <v>496000</v>
      </c>
      <c r="K769" s="49"/>
      <c r="L769" s="49"/>
      <c r="M769" s="49"/>
      <c r="N769" s="49"/>
      <c r="O769" s="49">
        <v>496000</v>
      </c>
      <c r="P769" s="49"/>
      <c r="Q769" s="49"/>
      <c r="R769" s="49"/>
      <c r="S769" s="49"/>
      <c r="T769" s="49"/>
      <c r="U769" s="49"/>
      <c r="V769" s="49"/>
      <c r="W769" s="49">
        <v>495852.23</v>
      </c>
      <c r="X769" s="40">
        <f t="shared" si="98"/>
        <v>147.77000000001863</v>
      </c>
    </row>
    <row r="770" spans="2:24" ht="78.75">
      <c r="B770" s="295"/>
      <c r="C770" s="295"/>
      <c r="D770" s="292"/>
      <c r="E770" s="130" t="s">
        <v>740</v>
      </c>
      <c r="F770" s="66">
        <v>848844</v>
      </c>
      <c r="G770" s="18">
        <f t="shared" si="97"/>
        <v>0.550741007770568</v>
      </c>
      <c r="H770" s="218">
        <v>467493.2</v>
      </c>
      <c r="I770" s="259">
        <v>3142</v>
      </c>
      <c r="J770" s="66">
        <v>437000</v>
      </c>
      <c r="K770" s="49"/>
      <c r="L770" s="49"/>
      <c r="M770" s="49"/>
      <c r="N770" s="49"/>
      <c r="O770" s="49"/>
      <c r="P770" s="49">
        <v>215000</v>
      </c>
      <c r="Q770" s="49">
        <v>100000</v>
      </c>
      <c r="R770" s="49">
        <f>122000-37500</f>
        <v>84500</v>
      </c>
      <c r="S770" s="49"/>
      <c r="T770" s="49">
        <f>37500</f>
        <v>37500</v>
      </c>
      <c r="U770" s="49"/>
      <c r="V770" s="49"/>
      <c r="W770" s="49"/>
      <c r="X770" s="40">
        <f t="shared" si="98"/>
        <v>437000</v>
      </c>
    </row>
    <row r="771" spans="2:24" ht="78.75">
      <c r="B771" s="302"/>
      <c r="C771" s="302"/>
      <c r="D771" s="305"/>
      <c r="E771" s="130" t="s">
        <v>362</v>
      </c>
      <c r="F771" s="66">
        <v>661770</v>
      </c>
      <c r="G771" s="18">
        <f t="shared" si="97"/>
        <v>0.30206567236351</v>
      </c>
      <c r="H771" s="218">
        <v>199898</v>
      </c>
      <c r="I771" s="259">
        <v>3142</v>
      </c>
      <c r="J771" s="66">
        <f>130000+46500</f>
        <v>176500</v>
      </c>
      <c r="K771" s="49"/>
      <c r="L771" s="49"/>
      <c r="M771" s="49"/>
      <c r="N771" s="49"/>
      <c r="O771" s="49">
        <v>65000</v>
      </c>
      <c r="P771" s="49">
        <v>65000</v>
      </c>
      <c r="Q771" s="49">
        <v>9000</v>
      </c>
      <c r="R771" s="49">
        <f>37500</f>
        <v>37500</v>
      </c>
      <c r="S771" s="49"/>
      <c r="T771" s="49">
        <f>37500-37500</f>
        <v>0</v>
      </c>
      <c r="U771" s="49"/>
      <c r="V771" s="49"/>
      <c r="W771" s="49">
        <f>1152+162690</f>
        <v>163842</v>
      </c>
      <c r="X771" s="40">
        <f t="shared" si="98"/>
        <v>12658</v>
      </c>
    </row>
    <row r="772" spans="2:24" ht="15.75">
      <c r="B772" s="301" t="s">
        <v>336</v>
      </c>
      <c r="C772" s="301" t="s">
        <v>818</v>
      </c>
      <c r="D772" s="304" t="s">
        <v>337</v>
      </c>
      <c r="E772" s="94"/>
      <c r="F772" s="76"/>
      <c r="G772" s="18"/>
      <c r="H772" s="224"/>
      <c r="I772" s="255"/>
      <c r="J772" s="211">
        <f aca="true" t="shared" si="100" ref="J772:W772">SUM(J773:J823)</f>
        <v>34856187.96000001</v>
      </c>
      <c r="K772" s="211">
        <f t="shared" si="100"/>
        <v>0</v>
      </c>
      <c r="L772" s="211">
        <f t="shared" si="100"/>
        <v>471102.4199999999</v>
      </c>
      <c r="M772" s="211">
        <f t="shared" si="100"/>
        <v>0</v>
      </c>
      <c r="N772" s="211">
        <f t="shared" si="100"/>
        <v>0</v>
      </c>
      <c r="O772" s="211">
        <f t="shared" si="100"/>
        <v>446782.66000000003</v>
      </c>
      <c r="P772" s="211">
        <f t="shared" si="100"/>
        <v>2622872.3</v>
      </c>
      <c r="Q772" s="211">
        <f t="shared" si="100"/>
        <v>1808135.9700000002</v>
      </c>
      <c r="R772" s="211">
        <f t="shared" si="100"/>
        <v>8541948.33</v>
      </c>
      <c r="S772" s="211">
        <f t="shared" si="100"/>
        <v>13598346.28</v>
      </c>
      <c r="T772" s="211">
        <f t="shared" si="100"/>
        <v>7067000</v>
      </c>
      <c r="U772" s="211">
        <f t="shared" si="100"/>
        <v>300000</v>
      </c>
      <c r="V772" s="211">
        <f t="shared" si="100"/>
        <v>0</v>
      </c>
      <c r="W772" s="211">
        <f t="shared" si="100"/>
        <v>4211745.04</v>
      </c>
      <c r="X772" s="184">
        <f t="shared" si="98"/>
        <v>30344442.92</v>
      </c>
    </row>
    <row r="773" spans="2:24" ht="63">
      <c r="B773" s="295"/>
      <c r="C773" s="295"/>
      <c r="D773" s="292"/>
      <c r="E773" s="275" t="s">
        <v>208</v>
      </c>
      <c r="F773" s="32">
        <v>320536</v>
      </c>
      <c r="G773" s="18">
        <f t="shared" si="97"/>
        <v>0.9690393590735518</v>
      </c>
      <c r="H773" s="242">
        <v>310612</v>
      </c>
      <c r="I773" s="259">
        <v>3122</v>
      </c>
      <c r="J773" s="9">
        <v>9924</v>
      </c>
      <c r="K773" s="49"/>
      <c r="L773" s="9">
        <v>9924</v>
      </c>
      <c r="M773" s="49"/>
      <c r="N773" s="49"/>
      <c r="O773" s="49"/>
      <c r="P773" s="49"/>
      <c r="Q773" s="49"/>
      <c r="R773" s="49"/>
      <c r="S773" s="49"/>
      <c r="T773" s="49"/>
      <c r="U773" s="49"/>
      <c r="V773" s="49"/>
      <c r="W773" s="49">
        <v>9924</v>
      </c>
      <c r="X773" s="40">
        <f t="shared" si="98"/>
        <v>0</v>
      </c>
    </row>
    <row r="774" spans="2:24" ht="63">
      <c r="B774" s="295"/>
      <c r="C774" s="295"/>
      <c r="D774" s="292"/>
      <c r="E774" s="275" t="s">
        <v>209</v>
      </c>
      <c r="F774" s="32">
        <v>644198</v>
      </c>
      <c r="G774" s="18">
        <f t="shared" si="97"/>
        <v>0.28123247821322017</v>
      </c>
      <c r="H774" s="242">
        <v>181169.4</v>
      </c>
      <c r="I774" s="259">
        <v>3142</v>
      </c>
      <c r="J774" s="9">
        <v>6499.4</v>
      </c>
      <c r="K774" s="49"/>
      <c r="L774" s="9">
        <v>6499.4</v>
      </c>
      <c r="M774" s="49"/>
      <c r="N774" s="49"/>
      <c r="O774" s="49"/>
      <c r="P774" s="49"/>
      <c r="Q774" s="49"/>
      <c r="R774" s="49"/>
      <c r="S774" s="49"/>
      <c r="T774" s="49"/>
      <c r="U774" s="49"/>
      <c r="V774" s="49"/>
      <c r="W774" s="49">
        <v>6499.4</v>
      </c>
      <c r="X774" s="40">
        <f t="shared" si="98"/>
        <v>0</v>
      </c>
    </row>
    <row r="775" spans="2:24" ht="78.75">
      <c r="B775" s="295"/>
      <c r="C775" s="295"/>
      <c r="D775" s="292"/>
      <c r="E775" s="275" t="s">
        <v>210</v>
      </c>
      <c r="F775" s="35">
        <v>1089162</v>
      </c>
      <c r="G775" s="18">
        <f t="shared" si="97"/>
        <v>0.8373322884933554</v>
      </c>
      <c r="H775" s="242">
        <v>911990.51</v>
      </c>
      <c r="I775" s="259">
        <v>3132</v>
      </c>
      <c r="J775" s="9">
        <v>27770.4</v>
      </c>
      <c r="K775" s="49"/>
      <c r="L775" s="9">
        <v>27770.4</v>
      </c>
      <c r="M775" s="49"/>
      <c r="N775" s="49"/>
      <c r="O775" s="49"/>
      <c r="P775" s="49"/>
      <c r="Q775" s="49"/>
      <c r="R775" s="49"/>
      <c r="S775" s="49"/>
      <c r="T775" s="49"/>
      <c r="U775" s="49"/>
      <c r="V775" s="49"/>
      <c r="W775" s="49">
        <v>27770.4</v>
      </c>
      <c r="X775" s="40">
        <f t="shared" si="98"/>
        <v>0</v>
      </c>
    </row>
    <row r="776" spans="2:24" ht="63">
      <c r="B776" s="295"/>
      <c r="C776" s="295"/>
      <c r="D776" s="292"/>
      <c r="E776" s="275" t="s">
        <v>211</v>
      </c>
      <c r="F776" s="32">
        <v>273003</v>
      </c>
      <c r="G776" s="18">
        <f t="shared" si="97"/>
        <v>0.9532276202093017</v>
      </c>
      <c r="H776" s="242">
        <v>260234</v>
      </c>
      <c r="I776" s="259">
        <v>3142</v>
      </c>
      <c r="J776" s="9">
        <v>12769</v>
      </c>
      <c r="K776" s="49"/>
      <c r="L776" s="9">
        <v>12769</v>
      </c>
      <c r="M776" s="49"/>
      <c r="N776" s="49"/>
      <c r="O776" s="49"/>
      <c r="P776" s="49"/>
      <c r="Q776" s="49"/>
      <c r="R776" s="49"/>
      <c r="S776" s="49"/>
      <c r="T776" s="49"/>
      <c r="U776" s="49"/>
      <c r="V776" s="49"/>
      <c r="W776" s="49">
        <v>12769</v>
      </c>
      <c r="X776" s="40">
        <f t="shared" si="98"/>
        <v>0</v>
      </c>
    </row>
    <row r="777" spans="2:24" ht="31.5">
      <c r="B777" s="295"/>
      <c r="C777" s="295"/>
      <c r="D777" s="292"/>
      <c r="E777" s="275" t="s">
        <v>212</v>
      </c>
      <c r="F777" s="32">
        <v>51257653</v>
      </c>
      <c r="G777" s="18">
        <f t="shared" si="97"/>
        <v>0.992599153925366</v>
      </c>
      <c r="H777" s="242">
        <v>50878303</v>
      </c>
      <c r="I777" s="259">
        <v>3142</v>
      </c>
      <c r="J777" s="9">
        <v>99850</v>
      </c>
      <c r="K777" s="49"/>
      <c r="L777" s="9">
        <v>99850</v>
      </c>
      <c r="M777" s="49"/>
      <c r="N777" s="49"/>
      <c r="O777" s="49"/>
      <c r="P777" s="49"/>
      <c r="Q777" s="49"/>
      <c r="R777" s="49"/>
      <c r="S777" s="49"/>
      <c r="T777" s="49"/>
      <c r="U777" s="49"/>
      <c r="V777" s="49"/>
      <c r="W777" s="49">
        <v>99850</v>
      </c>
      <c r="X777" s="40">
        <f t="shared" si="98"/>
        <v>0</v>
      </c>
    </row>
    <row r="778" spans="2:24" ht="78.75">
      <c r="B778" s="295"/>
      <c r="C778" s="295"/>
      <c r="D778" s="292"/>
      <c r="E778" s="276" t="s">
        <v>369</v>
      </c>
      <c r="F778" s="32">
        <v>35450000</v>
      </c>
      <c r="G778" s="18">
        <f t="shared" si="97"/>
        <v>0.9967136530324401</v>
      </c>
      <c r="H778" s="242">
        <v>35333499</v>
      </c>
      <c r="I778" s="259">
        <v>3142</v>
      </c>
      <c r="J778" s="9">
        <v>32192</v>
      </c>
      <c r="K778" s="49"/>
      <c r="L778" s="9">
        <v>32192</v>
      </c>
      <c r="M778" s="49"/>
      <c r="N778" s="49"/>
      <c r="O778" s="49"/>
      <c r="P778" s="49"/>
      <c r="Q778" s="49"/>
      <c r="R778" s="49"/>
      <c r="S778" s="49"/>
      <c r="T778" s="49"/>
      <c r="U778" s="49"/>
      <c r="V778" s="49"/>
      <c r="W778" s="49">
        <v>32192</v>
      </c>
      <c r="X778" s="40">
        <f t="shared" si="98"/>
        <v>0</v>
      </c>
    </row>
    <row r="779" spans="2:24" ht="78.75">
      <c r="B779" s="295"/>
      <c r="C779" s="295"/>
      <c r="D779" s="292"/>
      <c r="E779" s="277" t="s">
        <v>487</v>
      </c>
      <c r="F779" s="32">
        <v>129286</v>
      </c>
      <c r="G779" s="18">
        <f t="shared" si="97"/>
        <v>0.9240567424160389</v>
      </c>
      <c r="H779" s="242">
        <v>119467.6</v>
      </c>
      <c r="I779" s="259">
        <v>3132</v>
      </c>
      <c r="J779" s="9">
        <v>348</v>
      </c>
      <c r="K779" s="49"/>
      <c r="L779" s="9">
        <v>348</v>
      </c>
      <c r="M779" s="49"/>
      <c r="N779" s="49"/>
      <c r="O779" s="49"/>
      <c r="P779" s="49"/>
      <c r="Q779" s="49"/>
      <c r="R779" s="49"/>
      <c r="S779" s="49"/>
      <c r="T779" s="49"/>
      <c r="U779" s="49"/>
      <c r="V779" s="49"/>
      <c r="W779" s="49">
        <v>348</v>
      </c>
      <c r="X779" s="40">
        <f t="shared" si="98"/>
        <v>0</v>
      </c>
    </row>
    <row r="780" spans="2:24" ht="78.75">
      <c r="B780" s="295"/>
      <c r="C780" s="295"/>
      <c r="D780" s="292"/>
      <c r="E780" s="277" t="s">
        <v>473</v>
      </c>
      <c r="F780" s="32">
        <v>138818</v>
      </c>
      <c r="G780" s="18">
        <f t="shared" si="97"/>
        <v>0.9940518520652942</v>
      </c>
      <c r="H780" s="242">
        <v>137992.29</v>
      </c>
      <c r="I780" s="259">
        <v>3132</v>
      </c>
      <c r="J780" s="9">
        <v>825.71</v>
      </c>
      <c r="K780" s="49"/>
      <c r="L780" s="9">
        <v>825.71</v>
      </c>
      <c r="M780" s="49"/>
      <c r="N780" s="49"/>
      <c r="O780" s="49"/>
      <c r="P780" s="49"/>
      <c r="Q780" s="49"/>
      <c r="R780" s="49"/>
      <c r="S780" s="49"/>
      <c r="T780" s="49"/>
      <c r="U780" s="49"/>
      <c r="V780" s="49"/>
      <c r="W780" s="49">
        <v>825.71</v>
      </c>
      <c r="X780" s="40">
        <f t="shared" si="98"/>
        <v>0</v>
      </c>
    </row>
    <row r="781" spans="2:24" ht="78.75">
      <c r="B781" s="295"/>
      <c r="C781" s="295"/>
      <c r="D781" s="292"/>
      <c r="E781" s="277" t="s">
        <v>507</v>
      </c>
      <c r="F781" s="32">
        <v>133097</v>
      </c>
      <c r="G781" s="18">
        <f t="shared" si="97"/>
        <v>0.9937961787267933</v>
      </c>
      <c r="H781" s="242">
        <v>132271.29</v>
      </c>
      <c r="I781" s="259">
        <v>3132</v>
      </c>
      <c r="J781" s="9">
        <v>825.71</v>
      </c>
      <c r="K781" s="49"/>
      <c r="L781" s="9">
        <v>825.71</v>
      </c>
      <c r="M781" s="49"/>
      <c r="N781" s="49"/>
      <c r="O781" s="49"/>
      <c r="P781" s="49"/>
      <c r="Q781" s="49"/>
      <c r="R781" s="49"/>
      <c r="S781" s="49"/>
      <c r="T781" s="49"/>
      <c r="U781" s="49"/>
      <c r="V781" s="49"/>
      <c r="W781" s="49">
        <v>825.71</v>
      </c>
      <c r="X781" s="40">
        <f t="shared" si="98"/>
        <v>0</v>
      </c>
    </row>
    <row r="782" spans="2:24" ht="78.75">
      <c r="B782" s="295"/>
      <c r="C782" s="295"/>
      <c r="D782" s="292"/>
      <c r="E782" s="277" t="s">
        <v>508</v>
      </c>
      <c r="F782" s="32">
        <v>127630</v>
      </c>
      <c r="G782" s="18">
        <f t="shared" si="97"/>
        <v>0.9935304395518294</v>
      </c>
      <c r="H782" s="242">
        <v>126804.29</v>
      </c>
      <c r="I782" s="259">
        <v>3132</v>
      </c>
      <c r="J782" s="9">
        <v>825.71</v>
      </c>
      <c r="K782" s="49"/>
      <c r="L782" s="9">
        <v>825.71</v>
      </c>
      <c r="M782" s="49"/>
      <c r="N782" s="49"/>
      <c r="O782" s="49"/>
      <c r="P782" s="49"/>
      <c r="Q782" s="49"/>
      <c r="R782" s="49"/>
      <c r="S782" s="49"/>
      <c r="T782" s="49"/>
      <c r="U782" s="49"/>
      <c r="V782" s="49"/>
      <c r="W782" s="49">
        <v>825.71</v>
      </c>
      <c r="X782" s="40">
        <f t="shared" si="98"/>
        <v>0</v>
      </c>
    </row>
    <row r="783" spans="2:24" ht="78.75">
      <c r="B783" s="295"/>
      <c r="C783" s="295"/>
      <c r="D783" s="292"/>
      <c r="E783" s="277" t="s">
        <v>509</v>
      </c>
      <c r="F783" s="32">
        <v>244666</v>
      </c>
      <c r="G783" s="18">
        <f t="shared" si="97"/>
        <v>0.18163492271096116</v>
      </c>
      <c r="H783" s="242">
        <v>44439.89</v>
      </c>
      <c r="I783" s="259">
        <v>3132</v>
      </c>
      <c r="J783" s="9">
        <v>95769.11</v>
      </c>
      <c r="K783" s="49"/>
      <c r="L783" s="9">
        <v>95769.11</v>
      </c>
      <c r="M783" s="49"/>
      <c r="N783" s="49"/>
      <c r="O783" s="49"/>
      <c r="P783" s="49"/>
      <c r="Q783" s="49"/>
      <c r="R783" s="49"/>
      <c r="S783" s="49"/>
      <c r="T783" s="49"/>
      <c r="U783" s="49"/>
      <c r="V783" s="49"/>
      <c r="W783" s="49">
        <v>95769.11</v>
      </c>
      <c r="X783" s="40">
        <f t="shared" si="98"/>
        <v>0</v>
      </c>
    </row>
    <row r="784" spans="2:24" ht="94.5">
      <c r="B784" s="295"/>
      <c r="C784" s="295"/>
      <c r="D784" s="292"/>
      <c r="E784" s="277" t="s">
        <v>510</v>
      </c>
      <c r="F784" s="32">
        <v>363762</v>
      </c>
      <c r="G784" s="18">
        <f t="shared" si="97"/>
        <v>0.967574952853789</v>
      </c>
      <c r="H784" s="242">
        <v>351967</v>
      </c>
      <c r="I784" s="259">
        <v>3132</v>
      </c>
      <c r="J784" s="9">
        <v>11795</v>
      </c>
      <c r="K784" s="49"/>
      <c r="L784" s="9">
        <v>11795</v>
      </c>
      <c r="M784" s="49"/>
      <c r="N784" s="49"/>
      <c r="O784" s="49"/>
      <c r="P784" s="49"/>
      <c r="Q784" s="49"/>
      <c r="R784" s="49"/>
      <c r="S784" s="49"/>
      <c r="T784" s="49"/>
      <c r="U784" s="49"/>
      <c r="V784" s="49"/>
      <c r="W784" s="49">
        <v>11795</v>
      </c>
      <c r="X784" s="40">
        <f t="shared" si="98"/>
        <v>0</v>
      </c>
    </row>
    <row r="785" spans="2:24" ht="110.25">
      <c r="B785" s="295"/>
      <c r="C785" s="295"/>
      <c r="D785" s="292"/>
      <c r="E785" s="277" t="s">
        <v>842</v>
      </c>
      <c r="F785" s="32">
        <v>1050150</v>
      </c>
      <c r="G785" s="18">
        <f t="shared" si="97"/>
        <v>0.7899134695043566</v>
      </c>
      <c r="H785" s="242">
        <v>829527.63</v>
      </c>
      <c r="I785" s="259">
        <v>3132</v>
      </c>
      <c r="J785" s="9">
        <v>108605.17</v>
      </c>
      <c r="K785" s="49"/>
      <c r="L785" s="9">
        <v>108605.17</v>
      </c>
      <c r="M785" s="49"/>
      <c r="N785" s="49"/>
      <c r="O785" s="49"/>
      <c r="P785" s="49"/>
      <c r="Q785" s="49"/>
      <c r="R785" s="49"/>
      <c r="S785" s="49"/>
      <c r="T785" s="49"/>
      <c r="U785" s="49"/>
      <c r="V785" s="49"/>
      <c r="W785" s="49">
        <v>108605.17</v>
      </c>
      <c r="X785" s="40">
        <f t="shared" si="98"/>
        <v>0</v>
      </c>
    </row>
    <row r="786" spans="2:24" ht="78.75">
      <c r="B786" s="295"/>
      <c r="C786" s="295"/>
      <c r="D786" s="292"/>
      <c r="E786" s="277" t="s">
        <v>806</v>
      </c>
      <c r="F786" s="32">
        <v>449549</v>
      </c>
      <c r="G786" s="18">
        <f t="shared" si="97"/>
        <v>0.9906727631470652</v>
      </c>
      <c r="H786" s="242">
        <v>445355.95</v>
      </c>
      <c r="I786" s="259">
        <v>3132</v>
      </c>
      <c r="J786" s="9">
        <v>4193.05</v>
      </c>
      <c r="K786" s="49"/>
      <c r="L786" s="9">
        <v>4193.05</v>
      </c>
      <c r="M786" s="49"/>
      <c r="N786" s="49"/>
      <c r="O786" s="49"/>
      <c r="P786" s="49"/>
      <c r="Q786" s="49"/>
      <c r="R786" s="49"/>
      <c r="S786" s="49"/>
      <c r="T786" s="49"/>
      <c r="U786" s="49"/>
      <c r="V786" s="49"/>
      <c r="W786" s="49">
        <v>4193.05</v>
      </c>
      <c r="X786" s="40">
        <f t="shared" si="98"/>
        <v>0</v>
      </c>
    </row>
    <row r="787" spans="2:24" ht="78.75">
      <c r="B787" s="295"/>
      <c r="C787" s="295"/>
      <c r="D787" s="292"/>
      <c r="E787" s="277" t="s">
        <v>807</v>
      </c>
      <c r="F787" s="32">
        <v>318479</v>
      </c>
      <c r="G787" s="18">
        <f t="shared" si="97"/>
        <v>0.5308918641417488</v>
      </c>
      <c r="H787" s="242">
        <v>169077.91</v>
      </c>
      <c r="I787" s="259">
        <v>3132</v>
      </c>
      <c r="J787" s="9">
        <v>49960.56</v>
      </c>
      <c r="K787" s="49"/>
      <c r="L787" s="9">
        <v>49960.56</v>
      </c>
      <c r="M787" s="49"/>
      <c r="N787" s="49"/>
      <c r="O787" s="49"/>
      <c r="P787" s="49"/>
      <c r="Q787" s="49"/>
      <c r="R787" s="49"/>
      <c r="S787" s="49"/>
      <c r="T787" s="49"/>
      <c r="U787" s="49"/>
      <c r="V787" s="49"/>
      <c r="W787" s="49">
        <v>49960.56</v>
      </c>
      <c r="X787" s="40">
        <f t="shared" si="98"/>
        <v>0</v>
      </c>
    </row>
    <row r="788" spans="2:24" ht="63">
      <c r="B788" s="295"/>
      <c r="C788" s="295"/>
      <c r="D788" s="292"/>
      <c r="E788" s="277" t="s">
        <v>808</v>
      </c>
      <c r="F788" s="32">
        <v>129286</v>
      </c>
      <c r="G788" s="18">
        <f t="shared" si="97"/>
        <v>0.9240567424160389</v>
      </c>
      <c r="H788" s="242">
        <v>119467.6</v>
      </c>
      <c r="I788" s="259">
        <v>3132</v>
      </c>
      <c r="J788" s="9">
        <v>8949.6</v>
      </c>
      <c r="K788" s="49"/>
      <c r="L788" s="9">
        <v>8949.6</v>
      </c>
      <c r="M788" s="49"/>
      <c r="N788" s="49"/>
      <c r="O788" s="49"/>
      <c r="P788" s="49"/>
      <c r="Q788" s="49"/>
      <c r="R788" s="49"/>
      <c r="S788" s="49"/>
      <c r="T788" s="49"/>
      <c r="U788" s="49"/>
      <c r="V788" s="49"/>
      <c r="W788" s="49">
        <v>8949.6</v>
      </c>
      <c r="X788" s="40">
        <f t="shared" si="98"/>
        <v>0</v>
      </c>
    </row>
    <row r="789" spans="2:24" ht="47.25">
      <c r="B789" s="295"/>
      <c r="C789" s="295"/>
      <c r="D789" s="292"/>
      <c r="E789" s="12" t="s">
        <v>741</v>
      </c>
      <c r="F789" s="32"/>
      <c r="G789" s="18"/>
      <c r="H789" s="242"/>
      <c r="I789" s="259">
        <v>3132</v>
      </c>
      <c r="J789" s="9">
        <v>185000</v>
      </c>
      <c r="K789" s="49"/>
      <c r="L789" s="49"/>
      <c r="M789" s="49"/>
      <c r="N789" s="49"/>
      <c r="O789" s="49"/>
      <c r="P789" s="49">
        <v>185000</v>
      </c>
      <c r="Q789" s="49"/>
      <c r="R789" s="49"/>
      <c r="S789" s="49"/>
      <c r="T789" s="49"/>
      <c r="U789" s="49"/>
      <c r="V789" s="49"/>
      <c r="W789" s="49"/>
      <c r="X789" s="40">
        <f t="shared" si="98"/>
        <v>185000</v>
      </c>
    </row>
    <row r="790" spans="2:24" ht="31.5">
      <c r="B790" s="295"/>
      <c r="C790" s="295"/>
      <c r="D790" s="292"/>
      <c r="E790" s="12" t="s">
        <v>359</v>
      </c>
      <c r="F790" s="32"/>
      <c r="G790" s="18"/>
      <c r="H790" s="242"/>
      <c r="I790" s="259">
        <v>3122</v>
      </c>
      <c r="J790" s="9">
        <v>200000</v>
      </c>
      <c r="K790" s="49"/>
      <c r="L790" s="49"/>
      <c r="M790" s="49"/>
      <c r="N790" s="49"/>
      <c r="O790" s="49"/>
      <c r="P790" s="49"/>
      <c r="Q790" s="49"/>
      <c r="R790" s="49">
        <v>100000</v>
      </c>
      <c r="S790" s="49">
        <v>100000</v>
      </c>
      <c r="T790" s="49"/>
      <c r="U790" s="49"/>
      <c r="V790" s="49"/>
      <c r="W790" s="49"/>
      <c r="X790" s="40">
        <f t="shared" si="98"/>
        <v>200000</v>
      </c>
    </row>
    <row r="791" spans="2:24" ht="31.5">
      <c r="B791" s="295"/>
      <c r="C791" s="295"/>
      <c r="D791" s="292"/>
      <c r="E791" s="130" t="s">
        <v>246</v>
      </c>
      <c r="F791" s="66">
        <v>8707339</v>
      </c>
      <c r="G791" s="18">
        <f aca="true" t="shared" si="101" ref="G791:G797">100%-((F791-H791)/F791)</f>
        <v>0.28290235053441704</v>
      </c>
      <c r="H791" s="218">
        <v>2463326.67</v>
      </c>
      <c r="I791" s="259">
        <v>3142</v>
      </c>
      <c r="J791" s="66">
        <f>2300000+3500000</f>
        <v>5800000</v>
      </c>
      <c r="K791" s="49"/>
      <c r="L791" s="49"/>
      <c r="M791" s="49"/>
      <c r="N791" s="49"/>
      <c r="O791" s="49"/>
      <c r="P791" s="49">
        <v>760000</v>
      </c>
      <c r="Q791" s="49">
        <v>760000</v>
      </c>
      <c r="R791" s="49">
        <f>780000+1750000</f>
        <v>2530000</v>
      </c>
      <c r="S791" s="49">
        <f>1750000</f>
        <v>1750000</v>
      </c>
      <c r="T791" s="49"/>
      <c r="U791" s="49"/>
      <c r="V791" s="49"/>
      <c r="W791" s="49">
        <f>12525.6</f>
        <v>12525.6</v>
      </c>
      <c r="X791" s="40">
        <f t="shared" si="98"/>
        <v>5787474.4</v>
      </c>
    </row>
    <row r="792" spans="2:24" ht="63">
      <c r="B792" s="295"/>
      <c r="C792" s="295"/>
      <c r="D792" s="292"/>
      <c r="E792" s="130" t="s">
        <v>247</v>
      </c>
      <c r="F792" s="66">
        <v>7807134</v>
      </c>
      <c r="G792" s="18">
        <f t="shared" si="101"/>
        <v>0.14354670228537125</v>
      </c>
      <c r="H792" s="218">
        <v>1120688.34</v>
      </c>
      <c r="I792" s="259">
        <v>3142</v>
      </c>
      <c r="J792" s="66">
        <f>100000+1121000+315186.2</f>
        <v>1536186.2</v>
      </c>
      <c r="K792" s="49"/>
      <c r="L792" s="49"/>
      <c r="M792" s="49"/>
      <c r="N792" s="49"/>
      <c r="O792" s="49"/>
      <c r="P792" s="49">
        <v>30000</v>
      </c>
      <c r="Q792" s="49"/>
      <c r="R792" s="49">
        <v>70000</v>
      </c>
      <c r="S792" s="49">
        <v>1121000</v>
      </c>
      <c r="T792" s="49">
        <v>315186.2</v>
      </c>
      <c r="U792" s="49"/>
      <c r="V792" s="49"/>
      <c r="W792" s="49">
        <f>1040.4+118154.1-118154.1+118154.1</f>
        <v>119194.5</v>
      </c>
      <c r="X792" s="40">
        <f t="shared" si="98"/>
        <v>1416991.7</v>
      </c>
    </row>
    <row r="793" spans="2:24" ht="63">
      <c r="B793" s="295"/>
      <c r="C793" s="295"/>
      <c r="D793" s="292"/>
      <c r="E793" s="130" t="s">
        <v>248</v>
      </c>
      <c r="F793" s="66">
        <v>5551896</v>
      </c>
      <c r="G793" s="18">
        <f t="shared" si="101"/>
        <v>0.19599683783702004</v>
      </c>
      <c r="H793" s="218">
        <v>1088154.06</v>
      </c>
      <c r="I793" s="259">
        <v>3142</v>
      </c>
      <c r="J793" s="66">
        <f>100000+1481000-75719.8</f>
        <v>1505280.2</v>
      </c>
      <c r="K793" s="49"/>
      <c r="L793" s="49"/>
      <c r="M793" s="49"/>
      <c r="N793" s="49"/>
      <c r="O793" s="49"/>
      <c r="P793" s="49">
        <v>29000</v>
      </c>
      <c r="Q793" s="49"/>
      <c r="R793" s="49">
        <v>71000</v>
      </c>
      <c r="S793" s="49">
        <f>1481000-300000</f>
        <v>1181000</v>
      </c>
      <c r="T793" s="49">
        <v>-75719.8</v>
      </c>
      <c r="U793" s="49">
        <v>300000</v>
      </c>
      <c r="V793" s="49"/>
      <c r="W793" s="49">
        <f>1038+118724.46-118724.46+118724.46</f>
        <v>119762.46</v>
      </c>
      <c r="X793" s="40">
        <f t="shared" si="98"/>
        <v>1085517.74</v>
      </c>
    </row>
    <row r="794" spans="2:24" ht="63">
      <c r="B794" s="295"/>
      <c r="C794" s="295"/>
      <c r="D794" s="292"/>
      <c r="E794" s="130" t="s">
        <v>810</v>
      </c>
      <c r="F794" s="66">
        <v>24072945</v>
      </c>
      <c r="G794" s="18">
        <f t="shared" si="101"/>
        <v>0.12326281433368458</v>
      </c>
      <c r="H794" s="218">
        <v>2967298.95</v>
      </c>
      <c r="I794" s="259">
        <v>3142</v>
      </c>
      <c r="J794" s="66">
        <f>100000+3641000+280130.6</f>
        <v>4021130.6</v>
      </c>
      <c r="K794" s="49"/>
      <c r="L794" s="49"/>
      <c r="M794" s="49"/>
      <c r="N794" s="49"/>
      <c r="O794" s="49"/>
      <c r="P794" s="49">
        <v>10000</v>
      </c>
      <c r="Q794" s="49"/>
      <c r="R794" s="49">
        <f>90000+1820500</f>
        <v>1910500</v>
      </c>
      <c r="S794" s="49">
        <f>1820500</f>
        <v>1820500</v>
      </c>
      <c r="T794" s="49">
        <v>280130.6</v>
      </c>
      <c r="U794" s="49"/>
      <c r="V794" s="49"/>
      <c r="W794" s="49">
        <f>1365.6+310558.86-310558.86+310558.86</f>
        <v>311924.45999999996</v>
      </c>
      <c r="X794" s="40">
        <f t="shared" si="98"/>
        <v>3709206.14</v>
      </c>
    </row>
    <row r="795" spans="2:24" ht="63">
      <c r="B795" s="295"/>
      <c r="C795" s="295"/>
      <c r="D795" s="292"/>
      <c r="E795" s="130" t="s">
        <v>321</v>
      </c>
      <c r="F795" s="66">
        <v>8315988</v>
      </c>
      <c r="G795" s="18">
        <f t="shared" si="101"/>
        <v>0.10770126772669708</v>
      </c>
      <c r="H795" s="218">
        <v>895642.45</v>
      </c>
      <c r="I795" s="259">
        <v>3142</v>
      </c>
      <c r="J795" s="66">
        <f>100000+1526000-431997.2</f>
        <v>1194002.8</v>
      </c>
      <c r="K795" s="49"/>
      <c r="L795" s="49"/>
      <c r="M795" s="49"/>
      <c r="N795" s="49"/>
      <c r="O795" s="49"/>
      <c r="P795" s="49">
        <v>55000</v>
      </c>
      <c r="Q795" s="49"/>
      <c r="R795" s="49">
        <v>45000</v>
      </c>
      <c r="S795" s="49">
        <v>1526000</v>
      </c>
      <c r="T795" s="49">
        <v>-431997.2</v>
      </c>
      <c r="U795" s="49"/>
      <c r="V795" s="49"/>
      <c r="W795" s="49">
        <f>1004.4+85848.54-85848.54+85848.54</f>
        <v>86852.93999999999</v>
      </c>
      <c r="X795" s="40">
        <f t="shared" si="98"/>
        <v>1107149.86</v>
      </c>
    </row>
    <row r="796" spans="2:24" ht="63">
      <c r="B796" s="295"/>
      <c r="C796" s="295"/>
      <c r="D796" s="292"/>
      <c r="E796" s="130" t="s">
        <v>809</v>
      </c>
      <c r="F796" s="66">
        <v>10896104</v>
      </c>
      <c r="G796" s="18">
        <f t="shared" si="101"/>
        <v>0.19864864909512614</v>
      </c>
      <c r="H796" s="218">
        <v>2164496.34</v>
      </c>
      <c r="I796" s="259">
        <v>3142</v>
      </c>
      <c r="J796" s="66">
        <f>100000+2000000+2241000-1282019.4</f>
        <v>3058980.6</v>
      </c>
      <c r="K796" s="49"/>
      <c r="L796" s="49"/>
      <c r="M796" s="49"/>
      <c r="N796" s="49"/>
      <c r="O796" s="49"/>
      <c r="P796" s="49">
        <v>20000</v>
      </c>
      <c r="Q796" s="49"/>
      <c r="R796" s="49">
        <f>80000+1000000</f>
        <v>1080000</v>
      </c>
      <c r="S796" s="49">
        <f>1000000+2241000</f>
        <v>3241000</v>
      </c>
      <c r="T796" s="49">
        <v>-1282019.4</v>
      </c>
      <c r="U796" s="49"/>
      <c r="V796" s="49"/>
      <c r="W796" s="49">
        <f>1239.6+259794.12-259794.12+259794.12</f>
        <v>261033.72</v>
      </c>
      <c r="X796" s="40">
        <f t="shared" si="98"/>
        <v>2797946.88</v>
      </c>
    </row>
    <row r="797" spans="2:24" ht="63">
      <c r="B797" s="295"/>
      <c r="C797" s="295"/>
      <c r="D797" s="292"/>
      <c r="E797" s="130" t="s">
        <v>610</v>
      </c>
      <c r="F797" s="66">
        <v>12970218</v>
      </c>
      <c r="G797" s="18">
        <f t="shared" si="101"/>
        <v>0.1291613602793723</v>
      </c>
      <c r="H797" s="218">
        <v>1675251</v>
      </c>
      <c r="I797" s="259">
        <v>3142</v>
      </c>
      <c r="J797" s="66">
        <f>100000+2858000-765831.4</f>
        <v>2192168.6</v>
      </c>
      <c r="K797" s="49"/>
      <c r="L797" s="49"/>
      <c r="M797" s="49"/>
      <c r="N797" s="49"/>
      <c r="O797" s="49"/>
      <c r="P797" s="49">
        <v>20000</v>
      </c>
      <c r="Q797" s="49"/>
      <c r="R797" s="49">
        <f>80000+1429000</f>
        <v>1509000</v>
      </c>
      <c r="S797" s="49">
        <f>1429000</f>
        <v>1429000</v>
      </c>
      <c r="T797" s="49">
        <v>-765831.4</v>
      </c>
      <c r="U797" s="49"/>
      <c r="V797" s="49"/>
      <c r="W797" s="49">
        <f>1128+146217.48-146217.48+146217.48</f>
        <v>147345.48</v>
      </c>
      <c r="X797" s="40">
        <f t="shared" si="98"/>
        <v>2044823.12</v>
      </c>
    </row>
    <row r="798" spans="2:24" ht="31.5">
      <c r="B798" s="295"/>
      <c r="C798" s="295"/>
      <c r="D798" s="292"/>
      <c r="E798" s="130" t="s">
        <v>511</v>
      </c>
      <c r="F798" s="66">
        <v>51257653</v>
      </c>
      <c r="G798" s="18">
        <f t="shared" si="97"/>
        <v>0.992599153925366</v>
      </c>
      <c r="H798" s="218">
        <v>50878303</v>
      </c>
      <c r="I798" s="259">
        <v>3142</v>
      </c>
      <c r="J798" s="66">
        <v>200000</v>
      </c>
      <c r="K798" s="49"/>
      <c r="L798" s="49"/>
      <c r="M798" s="49"/>
      <c r="N798" s="49"/>
      <c r="O798" s="49"/>
      <c r="P798" s="49">
        <v>70000</v>
      </c>
      <c r="Q798" s="49"/>
      <c r="R798" s="49">
        <v>130000</v>
      </c>
      <c r="S798" s="49"/>
      <c r="T798" s="49"/>
      <c r="U798" s="49"/>
      <c r="V798" s="49"/>
      <c r="W798" s="49"/>
      <c r="X798" s="40">
        <f t="shared" si="98"/>
        <v>200000</v>
      </c>
    </row>
    <row r="799" spans="2:24" ht="31.5">
      <c r="B799" s="295"/>
      <c r="C799" s="295"/>
      <c r="D799" s="292"/>
      <c r="E799" s="130" t="s">
        <v>512</v>
      </c>
      <c r="F799" s="66">
        <v>5350936</v>
      </c>
      <c r="G799" s="18">
        <f t="shared" si="97"/>
        <v>0.925593578394509</v>
      </c>
      <c r="H799" s="218">
        <v>4952792</v>
      </c>
      <c r="I799" s="259">
        <v>3142</v>
      </c>
      <c r="J799" s="66">
        <f>200000+6957000</f>
        <v>7157000</v>
      </c>
      <c r="K799" s="49"/>
      <c r="L799" s="49"/>
      <c r="M799" s="49"/>
      <c r="N799" s="49"/>
      <c r="O799" s="49"/>
      <c r="P799" s="49">
        <v>10000</v>
      </c>
      <c r="Q799" s="49"/>
      <c r="R799" s="49">
        <v>190000</v>
      </c>
      <c r="S799" s="49"/>
      <c r="T799" s="49">
        <v>6957000</v>
      </c>
      <c r="U799" s="49"/>
      <c r="V799" s="49"/>
      <c r="W799" s="49">
        <f>9087-5997+1281.6</f>
        <v>4371.6</v>
      </c>
      <c r="X799" s="40">
        <f t="shared" si="98"/>
        <v>7152628.4</v>
      </c>
    </row>
    <row r="800" spans="2:24" ht="47.25">
      <c r="B800" s="295"/>
      <c r="C800" s="295"/>
      <c r="D800" s="292"/>
      <c r="E800" s="130" t="s">
        <v>513</v>
      </c>
      <c r="F800" s="66">
        <v>21096</v>
      </c>
      <c r="G800" s="18">
        <f t="shared" si="97"/>
        <v>0.6111717861205916</v>
      </c>
      <c r="H800" s="218">
        <v>12893.28</v>
      </c>
      <c r="I800" s="259">
        <v>3122</v>
      </c>
      <c r="J800" s="66">
        <v>12893.28</v>
      </c>
      <c r="K800" s="49"/>
      <c r="L800" s="49"/>
      <c r="M800" s="49"/>
      <c r="N800" s="49"/>
      <c r="O800" s="49"/>
      <c r="P800" s="49"/>
      <c r="Q800" s="49"/>
      <c r="R800" s="49"/>
      <c r="S800" s="49">
        <v>12893.28</v>
      </c>
      <c r="T800" s="49"/>
      <c r="U800" s="49"/>
      <c r="V800" s="49"/>
      <c r="W800" s="49"/>
      <c r="X800" s="40">
        <f t="shared" si="98"/>
        <v>12893.28</v>
      </c>
    </row>
    <row r="801" spans="2:24" ht="47.25">
      <c r="B801" s="295"/>
      <c r="C801" s="295"/>
      <c r="D801" s="292"/>
      <c r="E801" s="130" t="s">
        <v>514</v>
      </c>
      <c r="F801" s="66">
        <v>121189</v>
      </c>
      <c r="G801" s="18">
        <f t="shared" si="97"/>
        <v>0.9489194563863057</v>
      </c>
      <c r="H801" s="218">
        <v>114998.6</v>
      </c>
      <c r="I801" s="259">
        <v>3122</v>
      </c>
      <c r="J801" s="66">
        <v>114998.6</v>
      </c>
      <c r="K801" s="49"/>
      <c r="L801" s="49"/>
      <c r="M801" s="49"/>
      <c r="N801" s="49"/>
      <c r="O801" s="49"/>
      <c r="P801" s="49"/>
      <c r="Q801" s="49">
        <v>60000</v>
      </c>
      <c r="R801" s="49">
        <v>54998.6</v>
      </c>
      <c r="S801" s="49"/>
      <c r="T801" s="49"/>
      <c r="U801" s="49"/>
      <c r="V801" s="49"/>
      <c r="W801" s="49"/>
      <c r="X801" s="40">
        <f t="shared" si="98"/>
        <v>114998.6</v>
      </c>
    </row>
    <row r="802" spans="2:24" ht="63">
      <c r="B802" s="295"/>
      <c r="C802" s="295"/>
      <c r="D802" s="292"/>
      <c r="E802" s="130" t="s">
        <v>515</v>
      </c>
      <c r="F802" s="66">
        <v>117496.73</v>
      </c>
      <c r="G802" s="18">
        <f t="shared" si="97"/>
        <v>1</v>
      </c>
      <c r="H802" s="218">
        <v>117496.73</v>
      </c>
      <c r="I802" s="259">
        <v>3122</v>
      </c>
      <c r="J802" s="66">
        <v>117496.73</v>
      </c>
      <c r="K802" s="49"/>
      <c r="L802" s="49"/>
      <c r="M802" s="49"/>
      <c r="N802" s="49"/>
      <c r="O802" s="49"/>
      <c r="P802" s="49"/>
      <c r="Q802" s="49">
        <v>60000</v>
      </c>
      <c r="R802" s="49">
        <v>57496.73</v>
      </c>
      <c r="S802" s="49"/>
      <c r="T802" s="49"/>
      <c r="U802" s="49"/>
      <c r="V802" s="49"/>
      <c r="W802" s="49"/>
      <c r="X802" s="40">
        <f t="shared" si="98"/>
        <v>117496.73000000001</v>
      </c>
    </row>
    <row r="803" spans="2:24" ht="31.5">
      <c r="B803" s="295"/>
      <c r="C803" s="295"/>
      <c r="D803" s="292"/>
      <c r="E803" s="130" t="s">
        <v>516</v>
      </c>
      <c r="F803" s="66">
        <v>320536</v>
      </c>
      <c r="G803" s="18">
        <f t="shared" si="97"/>
        <v>0.9690393590735518</v>
      </c>
      <c r="H803" s="218">
        <v>310612</v>
      </c>
      <c r="I803" s="259">
        <v>3122</v>
      </c>
      <c r="J803" s="66">
        <v>310611.39</v>
      </c>
      <c r="K803" s="49"/>
      <c r="L803" s="49"/>
      <c r="M803" s="49"/>
      <c r="N803" s="49"/>
      <c r="O803" s="49"/>
      <c r="P803" s="49">
        <v>155000</v>
      </c>
      <c r="Q803" s="49">
        <v>155611.39</v>
      </c>
      <c r="R803" s="49"/>
      <c r="S803" s="49"/>
      <c r="T803" s="49"/>
      <c r="U803" s="49"/>
      <c r="V803" s="49"/>
      <c r="W803" s="49">
        <f>146584.2+151215.36+852</f>
        <v>298651.56</v>
      </c>
      <c r="X803" s="40">
        <f t="shared" si="98"/>
        <v>11959.830000000016</v>
      </c>
    </row>
    <row r="804" spans="2:24" ht="63">
      <c r="B804" s="295"/>
      <c r="C804" s="295"/>
      <c r="D804" s="292"/>
      <c r="E804" s="130" t="s">
        <v>364</v>
      </c>
      <c r="F804" s="66">
        <v>4565810</v>
      </c>
      <c r="G804" s="18">
        <f t="shared" si="97"/>
        <v>0.5551377389773118</v>
      </c>
      <c r="H804" s="218">
        <v>2534653.44</v>
      </c>
      <c r="I804" s="259">
        <v>3142</v>
      </c>
      <c r="J804" s="66">
        <f>100000+1960251</f>
        <v>2060251</v>
      </c>
      <c r="K804" s="49"/>
      <c r="L804" s="49"/>
      <c r="M804" s="49"/>
      <c r="N804" s="49"/>
      <c r="O804" s="49"/>
      <c r="P804" s="49">
        <v>30000</v>
      </c>
      <c r="Q804" s="49"/>
      <c r="R804" s="49">
        <v>70000</v>
      </c>
      <c r="S804" s="49"/>
      <c r="T804" s="49">
        <v>1960251</v>
      </c>
      <c r="U804" s="49"/>
      <c r="V804" s="49"/>
      <c r="W804" s="49">
        <v>1334.4</v>
      </c>
      <c r="X804" s="40">
        <f aca="true" t="shared" si="102" ref="X804:X867">K804+L804+M804+N804+O804+P804+Q804+R804+S804+T804-W804</f>
        <v>2058916.6</v>
      </c>
    </row>
    <row r="805" spans="2:24" ht="63">
      <c r="B805" s="295"/>
      <c r="C805" s="295"/>
      <c r="D805" s="292"/>
      <c r="E805" s="130" t="s">
        <v>460</v>
      </c>
      <c r="F805" s="66"/>
      <c r="G805" s="18"/>
      <c r="H805" s="218"/>
      <c r="I805" s="259">
        <v>3132</v>
      </c>
      <c r="J805" s="66">
        <v>11780</v>
      </c>
      <c r="K805" s="49"/>
      <c r="L805" s="49"/>
      <c r="M805" s="49"/>
      <c r="N805" s="49"/>
      <c r="O805" s="49">
        <v>11780</v>
      </c>
      <c r="P805" s="49"/>
      <c r="Q805" s="49"/>
      <c r="R805" s="49"/>
      <c r="S805" s="49"/>
      <c r="T805" s="49"/>
      <c r="U805" s="49"/>
      <c r="V805" s="49"/>
      <c r="W805" s="49"/>
      <c r="X805" s="40">
        <f t="shared" si="102"/>
        <v>11780</v>
      </c>
    </row>
    <row r="806" spans="2:24" ht="78.75">
      <c r="B806" s="295"/>
      <c r="C806" s="295"/>
      <c r="D806" s="292"/>
      <c r="E806" s="130" t="s">
        <v>461</v>
      </c>
      <c r="F806" s="66">
        <v>363762</v>
      </c>
      <c r="G806" s="18">
        <f t="shared" si="97"/>
        <v>0.9676656715104931</v>
      </c>
      <c r="H806" s="218">
        <v>352000</v>
      </c>
      <c r="I806" s="259">
        <v>3132</v>
      </c>
      <c r="J806" s="66">
        <v>352000</v>
      </c>
      <c r="K806" s="49"/>
      <c r="L806" s="49"/>
      <c r="M806" s="49"/>
      <c r="N806" s="49"/>
      <c r="O806" s="49"/>
      <c r="P806" s="49">
        <v>200000</v>
      </c>
      <c r="Q806" s="49">
        <v>152000</v>
      </c>
      <c r="R806" s="49"/>
      <c r="S806" s="49"/>
      <c r="T806" s="49"/>
      <c r="U806" s="49"/>
      <c r="V806" s="49"/>
      <c r="W806" s="49">
        <f>168677+164978+5391.71</f>
        <v>339046.71</v>
      </c>
      <c r="X806" s="40">
        <f t="shared" si="102"/>
        <v>12953.289999999979</v>
      </c>
    </row>
    <row r="807" spans="2:24" ht="63">
      <c r="B807" s="295"/>
      <c r="C807" s="295"/>
      <c r="D807" s="292"/>
      <c r="E807" s="130" t="s">
        <v>462</v>
      </c>
      <c r="F807" s="66">
        <v>400650</v>
      </c>
      <c r="G807" s="18">
        <f t="shared" si="97"/>
        <v>0.3076668913016348</v>
      </c>
      <c r="H807" s="218">
        <v>123266.74</v>
      </c>
      <c r="I807" s="259">
        <v>3132</v>
      </c>
      <c r="J807" s="76">
        <v>123266.74</v>
      </c>
      <c r="K807" s="49"/>
      <c r="L807" s="49"/>
      <c r="M807" s="49"/>
      <c r="N807" s="49"/>
      <c r="O807" s="49"/>
      <c r="P807" s="49">
        <v>123266.74</v>
      </c>
      <c r="Q807" s="49"/>
      <c r="R807" s="49"/>
      <c r="S807" s="49"/>
      <c r="T807" s="49"/>
      <c r="U807" s="49"/>
      <c r="V807" s="49"/>
      <c r="W807" s="49">
        <f>54847.2+36835.2+1415.57</f>
        <v>93097.97</v>
      </c>
      <c r="X807" s="40">
        <f t="shared" si="102"/>
        <v>30168.770000000004</v>
      </c>
    </row>
    <row r="808" spans="2:24" ht="63">
      <c r="B808" s="295"/>
      <c r="C808" s="295"/>
      <c r="D808" s="292"/>
      <c r="E808" s="130" t="s">
        <v>843</v>
      </c>
      <c r="F808" s="66">
        <v>766000</v>
      </c>
      <c r="G808" s="18">
        <f>100%-((F808-H808)/F808)</f>
        <v>1</v>
      </c>
      <c r="H808" s="218">
        <v>766000</v>
      </c>
      <c r="I808" s="259">
        <v>3142</v>
      </c>
      <c r="J808" s="66">
        <f>416000+735906</f>
        <v>1151906</v>
      </c>
      <c r="K808" s="49"/>
      <c r="L808" s="49"/>
      <c r="M808" s="49"/>
      <c r="N808" s="49"/>
      <c r="O808" s="49">
        <v>20000</v>
      </c>
      <c r="P808" s="49">
        <v>200000</v>
      </c>
      <c r="Q808" s="49">
        <v>100000</v>
      </c>
      <c r="R808" s="49">
        <f>96000+367953</f>
        <v>463953</v>
      </c>
      <c r="S808" s="49">
        <f>367953</f>
        <v>367953</v>
      </c>
      <c r="T808" s="49"/>
      <c r="U808" s="49"/>
      <c r="V808" s="49"/>
      <c r="W808" s="49">
        <f>14777+174875+355039.6+349749.6+5253.39</f>
        <v>899694.59</v>
      </c>
      <c r="X808" s="40">
        <f t="shared" si="102"/>
        <v>252211.41000000003</v>
      </c>
    </row>
    <row r="809" spans="2:24" ht="63">
      <c r="B809" s="295"/>
      <c r="C809" s="295"/>
      <c r="D809" s="292"/>
      <c r="E809" s="130" t="s">
        <v>325</v>
      </c>
      <c r="F809" s="66">
        <v>111422</v>
      </c>
      <c r="G809" s="18">
        <f t="shared" si="97"/>
        <v>0.07303126851070696</v>
      </c>
      <c r="H809" s="218">
        <v>8137.29</v>
      </c>
      <c r="I809" s="259">
        <v>3142</v>
      </c>
      <c r="J809" s="76">
        <v>8137.29</v>
      </c>
      <c r="K809" s="49"/>
      <c r="L809" s="49"/>
      <c r="M809" s="49"/>
      <c r="N809" s="49"/>
      <c r="O809" s="49">
        <v>8137.29</v>
      </c>
      <c r="P809" s="49"/>
      <c r="Q809" s="49"/>
      <c r="R809" s="49"/>
      <c r="S809" s="49"/>
      <c r="T809" s="49"/>
      <c r="U809" s="49"/>
      <c r="V809" s="49"/>
      <c r="W809" s="49"/>
      <c r="X809" s="40">
        <f t="shared" si="102"/>
        <v>8137.29</v>
      </c>
    </row>
    <row r="810" spans="2:24" ht="63">
      <c r="B810" s="295"/>
      <c r="C810" s="295"/>
      <c r="D810" s="292"/>
      <c r="E810" s="130" t="s">
        <v>185</v>
      </c>
      <c r="F810" s="66">
        <v>132126</v>
      </c>
      <c r="G810" s="18">
        <f t="shared" si="97"/>
        <v>0.3766508484325568</v>
      </c>
      <c r="H810" s="218">
        <v>49765.37</v>
      </c>
      <c r="I810" s="259">
        <v>3142</v>
      </c>
      <c r="J810" s="76">
        <v>49765.37</v>
      </c>
      <c r="K810" s="49"/>
      <c r="L810" s="49"/>
      <c r="M810" s="49"/>
      <c r="N810" s="49"/>
      <c r="O810" s="49">
        <v>49765.37</v>
      </c>
      <c r="P810" s="49"/>
      <c r="Q810" s="49"/>
      <c r="R810" s="49"/>
      <c r="S810" s="49"/>
      <c r="T810" s="49"/>
      <c r="U810" s="49"/>
      <c r="V810" s="49"/>
      <c r="W810" s="49"/>
      <c r="X810" s="40">
        <f t="shared" si="102"/>
        <v>49765.37</v>
      </c>
    </row>
    <row r="811" spans="2:24" ht="63">
      <c r="B811" s="295"/>
      <c r="C811" s="295"/>
      <c r="D811" s="292"/>
      <c r="E811" s="130" t="s">
        <v>915</v>
      </c>
      <c r="F811" s="66">
        <v>318479</v>
      </c>
      <c r="G811" s="18">
        <f t="shared" si="97"/>
        <v>0.6931557810719073</v>
      </c>
      <c r="H811" s="218">
        <v>220755.56</v>
      </c>
      <c r="I811" s="259">
        <v>3132</v>
      </c>
      <c r="J811" s="76">
        <v>220755.56</v>
      </c>
      <c r="K811" s="49"/>
      <c r="L811" s="49"/>
      <c r="M811" s="49"/>
      <c r="N811" s="49"/>
      <c r="O811" s="49">
        <v>100000</v>
      </c>
      <c r="P811" s="49">
        <v>120755.56</v>
      </c>
      <c r="Q811" s="49"/>
      <c r="R811" s="49"/>
      <c r="S811" s="49"/>
      <c r="T811" s="49"/>
      <c r="U811" s="49"/>
      <c r="V811" s="49"/>
      <c r="W811" s="49"/>
      <c r="X811" s="40">
        <f t="shared" si="102"/>
        <v>220755.56</v>
      </c>
    </row>
    <row r="812" spans="2:24" ht="47.25">
      <c r="B812" s="295"/>
      <c r="C812" s="295"/>
      <c r="D812" s="292"/>
      <c r="E812" s="130" t="s">
        <v>800</v>
      </c>
      <c r="F812" s="66">
        <v>117808</v>
      </c>
      <c r="G812" s="18">
        <f t="shared" si="97"/>
        <v>0.932150617954638</v>
      </c>
      <c r="H812" s="218">
        <v>109814.8</v>
      </c>
      <c r="I812" s="259">
        <v>3132</v>
      </c>
      <c r="J812" s="76">
        <v>109814.8</v>
      </c>
      <c r="K812" s="49"/>
      <c r="L812" s="49"/>
      <c r="M812" s="49"/>
      <c r="N812" s="49"/>
      <c r="O812" s="49"/>
      <c r="P812" s="49">
        <v>90000</v>
      </c>
      <c r="Q812" s="49">
        <v>19814.8</v>
      </c>
      <c r="R812" s="49"/>
      <c r="S812" s="49"/>
      <c r="T812" s="49"/>
      <c r="U812" s="49"/>
      <c r="V812" s="49"/>
      <c r="W812" s="49"/>
      <c r="X812" s="40">
        <f t="shared" si="102"/>
        <v>109814.8</v>
      </c>
    </row>
    <row r="813" spans="2:24" ht="63">
      <c r="B813" s="295"/>
      <c r="C813" s="295"/>
      <c r="D813" s="292"/>
      <c r="E813" s="130" t="s">
        <v>801</v>
      </c>
      <c r="F813" s="66">
        <v>589979</v>
      </c>
      <c r="G813" s="18">
        <f t="shared" si="97"/>
        <v>0.6984312661976104</v>
      </c>
      <c r="H813" s="218">
        <v>412059.78</v>
      </c>
      <c r="I813" s="259">
        <v>3132</v>
      </c>
      <c r="J813" s="76">
        <v>412059.78</v>
      </c>
      <c r="K813" s="49"/>
      <c r="L813" s="49"/>
      <c r="M813" s="49"/>
      <c r="N813" s="49"/>
      <c r="O813" s="49">
        <v>100000</v>
      </c>
      <c r="P813" s="49">
        <v>200000</v>
      </c>
      <c r="Q813" s="49">
        <v>112059.78</v>
      </c>
      <c r="R813" s="49"/>
      <c r="S813" s="49"/>
      <c r="T813" s="49"/>
      <c r="U813" s="49"/>
      <c r="V813" s="49"/>
      <c r="W813" s="49">
        <f>200655.6</f>
        <v>200655.6</v>
      </c>
      <c r="X813" s="40">
        <f t="shared" si="102"/>
        <v>211404.18000000002</v>
      </c>
    </row>
    <row r="814" spans="2:24" ht="78.75">
      <c r="B814" s="295"/>
      <c r="C814" s="295"/>
      <c r="D814" s="292"/>
      <c r="E814" s="130" t="s">
        <v>108</v>
      </c>
      <c r="F814" s="66">
        <v>134000</v>
      </c>
      <c r="G814" s="18">
        <f aca="true" t="shared" si="103" ref="G814:G821">100%-((F814-H814)/F814)</f>
        <v>1</v>
      </c>
      <c r="H814" s="218">
        <v>134000</v>
      </c>
      <c r="I814" s="259">
        <v>3142</v>
      </c>
      <c r="J814" s="66">
        <v>134000</v>
      </c>
      <c r="K814" s="49"/>
      <c r="L814" s="49"/>
      <c r="M814" s="49"/>
      <c r="N814" s="49"/>
      <c r="O814" s="49"/>
      <c r="P814" s="49"/>
      <c r="Q814" s="49">
        <v>30000</v>
      </c>
      <c r="R814" s="49">
        <v>50000</v>
      </c>
      <c r="S814" s="49">
        <v>54000</v>
      </c>
      <c r="T814" s="49"/>
      <c r="U814" s="49"/>
      <c r="V814" s="49"/>
      <c r="W814" s="49">
        <f>4785.73+1033.3</f>
        <v>5819.03</v>
      </c>
      <c r="X814" s="40">
        <f t="shared" si="102"/>
        <v>128180.97</v>
      </c>
    </row>
    <row r="815" spans="2:24" ht="63">
      <c r="B815" s="295"/>
      <c r="C815" s="295"/>
      <c r="D815" s="292"/>
      <c r="E815" s="130" t="s">
        <v>109</v>
      </c>
      <c r="F815" s="66">
        <v>979985</v>
      </c>
      <c r="G815" s="18">
        <f t="shared" si="103"/>
        <v>0.08163390255973302</v>
      </c>
      <c r="H815" s="218">
        <v>80000</v>
      </c>
      <c r="I815" s="259">
        <v>3132</v>
      </c>
      <c r="J815" s="66">
        <v>80000</v>
      </c>
      <c r="K815" s="49"/>
      <c r="L815" s="49"/>
      <c r="M815" s="49"/>
      <c r="N815" s="49"/>
      <c r="O815" s="49"/>
      <c r="P815" s="49">
        <v>80000</v>
      </c>
      <c r="Q815" s="49"/>
      <c r="R815" s="49"/>
      <c r="S815" s="49"/>
      <c r="T815" s="49"/>
      <c r="U815" s="49"/>
      <c r="V815" s="49"/>
      <c r="W815" s="49"/>
      <c r="X815" s="40">
        <f t="shared" si="102"/>
        <v>80000</v>
      </c>
    </row>
    <row r="816" spans="2:24" ht="63">
      <c r="B816" s="295"/>
      <c r="C816" s="295"/>
      <c r="D816" s="292"/>
      <c r="E816" s="130" t="s">
        <v>113</v>
      </c>
      <c r="F816" s="66">
        <v>244666</v>
      </c>
      <c r="G816" s="18">
        <f t="shared" si="103"/>
        <v>0.18392420687794786</v>
      </c>
      <c r="H816" s="218">
        <v>45000</v>
      </c>
      <c r="I816" s="259">
        <v>3132</v>
      </c>
      <c r="J816" s="66">
        <f>45000-3000</f>
        <v>42000</v>
      </c>
      <c r="K816" s="49"/>
      <c r="L816" s="49"/>
      <c r="M816" s="49"/>
      <c r="N816" s="49"/>
      <c r="O816" s="49">
        <v>15000</v>
      </c>
      <c r="P816" s="49">
        <v>-3000</v>
      </c>
      <c r="Q816" s="49">
        <v>30000</v>
      </c>
      <c r="R816" s="49"/>
      <c r="S816" s="49"/>
      <c r="T816" s="49"/>
      <c r="U816" s="49"/>
      <c r="V816" s="49"/>
      <c r="W816" s="49"/>
      <c r="X816" s="40">
        <f t="shared" si="102"/>
        <v>42000</v>
      </c>
    </row>
    <row r="817" spans="2:24" ht="78.75">
      <c r="B817" s="295"/>
      <c r="C817" s="295"/>
      <c r="D817" s="292"/>
      <c r="E817" s="130" t="s">
        <v>587</v>
      </c>
      <c r="F817" s="66">
        <v>1050150</v>
      </c>
      <c r="G817" s="18">
        <f t="shared" si="103"/>
        <v>0.789913440937009</v>
      </c>
      <c r="H817" s="218">
        <v>829527.6</v>
      </c>
      <c r="I817" s="259">
        <v>3132</v>
      </c>
      <c r="J817" s="66">
        <f>753000-743000+230000</f>
        <v>240000</v>
      </c>
      <c r="K817" s="49"/>
      <c r="L817" s="49"/>
      <c r="M817" s="49"/>
      <c r="N817" s="49"/>
      <c r="O817" s="49"/>
      <c r="P817" s="49">
        <v>10000</v>
      </c>
      <c r="Q817" s="49"/>
      <c r="R817" s="49"/>
      <c r="S817" s="49">
        <v>230000</v>
      </c>
      <c r="T817" s="49"/>
      <c r="U817" s="49"/>
      <c r="V817" s="49"/>
      <c r="W817" s="49"/>
      <c r="X817" s="40">
        <f t="shared" si="102"/>
        <v>240000</v>
      </c>
    </row>
    <row r="818" spans="2:24" ht="63">
      <c r="B818" s="295"/>
      <c r="C818" s="295"/>
      <c r="D818" s="292"/>
      <c r="E818" s="130" t="s">
        <v>917</v>
      </c>
      <c r="F818" s="66">
        <v>148000</v>
      </c>
      <c r="G818" s="18">
        <f t="shared" si="103"/>
        <v>1</v>
      </c>
      <c r="H818" s="218">
        <v>148000</v>
      </c>
      <c r="I818" s="259">
        <v>3132</v>
      </c>
      <c r="J818" s="66">
        <f>148000+50000</f>
        <v>198000</v>
      </c>
      <c r="K818" s="49"/>
      <c r="L818" s="49"/>
      <c r="M818" s="49"/>
      <c r="N818" s="49"/>
      <c r="O818" s="49">
        <v>50000</v>
      </c>
      <c r="P818" s="49">
        <v>50000</v>
      </c>
      <c r="Q818" s="49">
        <v>48000</v>
      </c>
      <c r="R818" s="49"/>
      <c r="S818" s="49">
        <v>50000</v>
      </c>
      <c r="T818" s="49"/>
      <c r="U818" s="49"/>
      <c r="V818" s="49"/>
      <c r="W818" s="49">
        <f>75342</f>
        <v>75342</v>
      </c>
      <c r="X818" s="40">
        <f t="shared" si="102"/>
        <v>122658</v>
      </c>
    </row>
    <row r="819" spans="2:24" ht="63">
      <c r="B819" s="295"/>
      <c r="C819" s="295"/>
      <c r="D819" s="292"/>
      <c r="E819" s="130" t="s">
        <v>802</v>
      </c>
      <c r="F819" s="66">
        <v>133097</v>
      </c>
      <c r="G819" s="18">
        <f t="shared" si="103"/>
        <v>0.9937961787267933</v>
      </c>
      <c r="H819" s="218">
        <v>132271.29</v>
      </c>
      <c r="I819" s="259">
        <v>3132</v>
      </c>
      <c r="J819" s="66">
        <f>125500+35000</f>
        <v>160500</v>
      </c>
      <c r="K819" s="49"/>
      <c r="L819" s="49"/>
      <c r="M819" s="49"/>
      <c r="N819" s="49"/>
      <c r="O819" s="49"/>
      <c r="P819" s="49">
        <v>87850</v>
      </c>
      <c r="Q819" s="49">
        <v>37650</v>
      </c>
      <c r="R819" s="49"/>
      <c r="S819" s="49">
        <v>35000</v>
      </c>
      <c r="T819" s="49"/>
      <c r="U819" s="49"/>
      <c r="V819" s="49"/>
      <c r="W819" s="49"/>
      <c r="X819" s="40">
        <f t="shared" si="102"/>
        <v>160500</v>
      </c>
    </row>
    <row r="820" spans="2:24" ht="47.25">
      <c r="B820" s="295"/>
      <c r="C820" s="295"/>
      <c r="D820" s="292"/>
      <c r="E820" s="130" t="s">
        <v>803</v>
      </c>
      <c r="F820" s="66">
        <v>273003</v>
      </c>
      <c r="G820" s="18">
        <f t="shared" si="103"/>
        <v>0.999989011109768</v>
      </c>
      <c r="H820" s="218">
        <v>273000</v>
      </c>
      <c r="I820" s="259">
        <v>3142</v>
      </c>
      <c r="J820" s="66">
        <v>273000</v>
      </c>
      <c r="K820" s="49"/>
      <c r="L820" s="49"/>
      <c r="M820" s="49"/>
      <c r="N820" s="49"/>
      <c r="O820" s="49">
        <v>90000</v>
      </c>
      <c r="P820" s="49">
        <v>90000</v>
      </c>
      <c r="Q820" s="49">
        <v>93000</v>
      </c>
      <c r="R820" s="49"/>
      <c r="S820" s="49"/>
      <c r="T820" s="49"/>
      <c r="U820" s="49"/>
      <c r="V820" s="49"/>
      <c r="W820" s="49">
        <f>122436.5+118554.5+3568+3957.43</f>
        <v>248516.43</v>
      </c>
      <c r="X820" s="40">
        <f t="shared" si="102"/>
        <v>24483.570000000007</v>
      </c>
    </row>
    <row r="821" spans="2:24" ht="63">
      <c r="B821" s="295"/>
      <c r="C821" s="295"/>
      <c r="D821" s="292"/>
      <c r="E821" s="130" t="s">
        <v>344</v>
      </c>
      <c r="F821" s="66">
        <v>475000</v>
      </c>
      <c r="G821" s="133">
        <f t="shared" si="103"/>
        <v>0.99116</v>
      </c>
      <c r="H821" s="218">
        <v>470801</v>
      </c>
      <c r="I821" s="259">
        <v>3132</v>
      </c>
      <c r="J821" s="66">
        <f>2100+470000</f>
        <v>472100</v>
      </c>
      <c r="K821" s="49"/>
      <c r="L821" s="49"/>
      <c r="M821" s="49"/>
      <c r="N821" s="49"/>
      <c r="O821" s="49">
        <v>2100</v>
      </c>
      <c r="P821" s="49"/>
      <c r="Q821" s="49"/>
      <c r="R821" s="49"/>
      <c r="S821" s="49">
        <v>470000</v>
      </c>
      <c r="T821" s="49"/>
      <c r="U821" s="49"/>
      <c r="V821" s="49"/>
      <c r="W821" s="49">
        <f>2051.95+226060+233314.52</f>
        <v>461426.47</v>
      </c>
      <c r="X821" s="40">
        <f t="shared" si="102"/>
        <v>10673.530000000028</v>
      </c>
    </row>
    <row r="822" spans="2:24" ht="31.5">
      <c r="B822" s="295"/>
      <c r="C822" s="295"/>
      <c r="D822" s="292"/>
      <c r="E822" s="130" t="s">
        <v>645</v>
      </c>
      <c r="F822" s="66"/>
      <c r="G822" s="133"/>
      <c r="H822" s="218"/>
      <c r="I822" s="259">
        <v>3132</v>
      </c>
      <c r="J822" s="66">
        <v>300000</v>
      </c>
      <c r="K822" s="49"/>
      <c r="L822" s="49"/>
      <c r="M822" s="49"/>
      <c r="N822" s="49"/>
      <c r="O822" s="49"/>
      <c r="P822" s="49"/>
      <c r="Q822" s="49">
        <v>100000</v>
      </c>
      <c r="R822" s="49">
        <v>100000</v>
      </c>
      <c r="S822" s="49">
        <v>100000</v>
      </c>
      <c r="T822" s="49"/>
      <c r="U822" s="49"/>
      <c r="V822" s="49"/>
      <c r="W822" s="49">
        <f>48143.1+5904</f>
        <v>54047.1</v>
      </c>
      <c r="X822" s="40">
        <f t="shared" si="102"/>
        <v>245952.9</v>
      </c>
    </row>
    <row r="823" spans="2:24" ht="63">
      <c r="B823" s="295"/>
      <c r="C823" s="295"/>
      <c r="D823" s="292"/>
      <c r="E823" s="134" t="s">
        <v>601</v>
      </c>
      <c r="F823" s="49"/>
      <c r="G823" s="129"/>
      <c r="H823" s="220"/>
      <c r="I823" s="259">
        <v>3122</v>
      </c>
      <c r="J823" s="21">
        <v>380000</v>
      </c>
      <c r="K823" s="49"/>
      <c r="L823" s="49"/>
      <c r="M823" s="49"/>
      <c r="N823" s="49"/>
      <c r="O823" s="49"/>
      <c r="P823" s="49"/>
      <c r="Q823" s="49">
        <v>50000</v>
      </c>
      <c r="R823" s="49">
        <v>110000</v>
      </c>
      <c r="S823" s="49">
        <v>110000</v>
      </c>
      <c r="T823" s="49">
        <v>110000</v>
      </c>
      <c r="U823" s="49"/>
      <c r="V823" s="49"/>
      <c r="W823" s="49"/>
      <c r="X823" s="40">
        <f t="shared" si="102"/>
        <v>380000</v>
      </c>
    </row>
    <row r="824" spans="2:24" ht="15.75">
      <c r="B824" s="308" t="s">
        <v>875</v>
      </c>
      <c r="C824" s="308" t="s">
        <v>699</v>
      </c>
      <c r="D824" s="304" t="s">
        <v>326</v>
      </c>
      <c r="E824" s="12"/>
      <c r="F824" s="32"/>
      <c r="G824" s="18"/>
      <c r="H824" s="242"/>
      <c r="I824" s="259"/>
      <c r="J824" s="210">
        <f>J825</f>
        <v>285000</v>
      </c>
      <c r="K824" s="210">
        <f aca="true" t="shared" si="104" ref="K824:W824">K825</f>
        <v>0</v>
      </c>
      <c r="L824" s="210">
        <f t="shared" si="104"/>
        <v>0</v>
      </c>
      <c r="M824" s="210">
        <f t="shared" si="104"/>
        <v>0</v>
      </c>
      <c r="N824" s="210">
        <f t="shared" si="104"/>
        <v>0</v>
      </c>
      <c r="O824" s="210">
        <f t="shared" si="104"/>
        <v>95000</v>
      </c>
      <c r="P824" s="210">
        <f t="shared" si="104"/>
        <v>180000</v>
      </c>
      <c r="Q824" s="210">
        <f t="shared" si="104"/>
        <v>100000</v>
      </c>
      <c r="R824" s="210">
        <f t="shared" si="104"/>
        <v>-90000</v>
      </c>
      <c r="S824" s="210">
        <f t="shared" si="104"/>
        <v>0</v>
      </c>
      <c r="T824" s="210">
        <f t="shared" si="104"/>
        <v>0</v>
      </c>
      <c r="U824" s="210">
        <f t="shared" si="104"/>
        <v>0</v>
      </c>
      <c r="V824" s="210">
        <f t="shared" si="104"/>
        <v>0</v>
      </c>
      <c r="W824" s="210">
        <f t="shared" si="104"/>
        <v>0</v>
      </c>
      <c r="X824" s="184">
        <f t="shared" si="102"/>
        <v>285000</v>
      </c>
    </row>
    <row r="825" spans="2:24" ht="31.5">
      <c r="B825" s="325"/>
      <c r="C825" s="325"/>
      <c r="D825" s="292"/>
      <c r="E825" s="135" t="s">
        <v>602</v>
      </c>
      <c r="F825" s="32"/>
      <c r="G825" s="18"/>
      <c r="H825" s="242"/>
      <c r="I825" s="259"/>
      <c r="J825" s="26">
        <f>SUM(J826:J828)</f>
        <v>285000</v>
      </c>
      <c r="K825" s="26">
        <f aca="true" t="shared" si="105" ref="K825:W825">SUM(K826:K828)</f>
        <v>0</v>
      </c>
      <c r="L825" s="26">
        <f t="shared" si="105"/>
        <v>0</v>
      </c>
      <c r="M825" s="26">
        <f t="shared" si="105"/>
        <v>0</v>
      </c>
      <c r="N825" s="26">
        <f t="shared" si="105"/>
        <v>0</v>
      </c>
      <c r="O825" s="26">
        <f t="shared" si="105"/>
        <v>95000</v>
      </c>
      <c r="P825" s="26">
        <f t="shared" si="105"/>
        <v>180000</v>
      </c>
      <c r="Q825" s="26">
        <f t="shared" si="105"/>
        <v>100000</v>
      </c>
      <c r="R825" s="26">
        <f t="shared" si="105"/>
        <v>-90000</v>
      </c>
      <c r="S825" s="26">
        <f t="shared" si="105"/>
        <v>0</v>
      </c>
      <c r="T825" s="26">
        <f t="shared" si="105"/>
        <v>0</v>
      </c>
      <c r="U825" s="26">
        <f t="shared" si="105"/>
        <v>0</v>
      </c>
      <c r="V825" s="26">
        <f t="shared" si="105"/>
        <v>0</v>
      </c>
      <c r="W825" s="26">
        <f t="shared" si="105"/>
        <v>0</v>
      </c>
      <c r="X825" s="40">
        <f t="shared" si="102"/>
        <v>285000</v>
      </c>
    </row>
    <row r="826" spans="2:24" ht="15.75">
      <c r="B826" s="325"/>
      <c r="C826" s="325"/>
      <c r="D826" s="292"/>
      <c r="E826" s="53" t="s">
        <v>603</v>
      </c>
      <c r="F826" s="49"/>
      <c r="G826" s="129"/>
      <c r="H826" s="220"/>
      <c r="I826" s="252">
        <v>3210</v>
      </c>
      <c r="J826" s="21">
        <f>305000-100000</f>
        <v>205000</v>
      </c>
      <c r="K826" s="49"/>
      <c r="L826" s="49"/>
      <c r="M826" s="49"/>
      <c r="N826" s="49"/>
      <c r="O826" s="49"/>
      <c r="P826" s="49">
        <v>100000</v>
      </c>
      <c r="Q826" s="49">
        <v>100000</v>
      </c>
      <c r="R826" s="49">
        <f>105000-100000</f>
        <v>5000</v>
      </c>
      <c r="S826" s="49"/>
      <c r="T826" s="49"/>
      <c r="U826" s="49"/>
      <c r="V826" s="49"/>
      <c r="W826" s="49"/>
      <c r="X826" s="40">
        <f t="shared" si="102"/>
        <v>205000</v>
      </c>
    </row>
    <row r="827" spans="2:24" ht="47.25" hidden="1">
      <c r="B827" s="325"/>
      <c r="C827" s="325"/>
      <c r="D827" s="292"/>
      <c r="E827" s="136" t="s">
        <v>604</v>
      </c>
      <c r="F827" s="49"/>
      <c r="G827" s="129"/>
      <c r="H827" s="220"/>
      <c r="I827" s="252">
        <v>3210</v>
      </c>
      <c r="J827" s="21">
        <f>95000-95000</f>
        <v>0</v>
      </c>
      <c r="K827" s="49"/>
      <c r="L827" s="49"/>
      <c r="M827" s="49"/>
      <c r="N827" s="49"/>
      <c r="O827" s="49">
        <v>95000</v>
      </c>
      <c r="P827" s="49"/>
      <c r="Q827" s="49"/>
      <c r="R827" s="49">
        <v>-95000</v>
      </c>
      <c r="S827" s="49"/>
      <c r="T827" s="49"/>
      <c r="U827" s="49"/>
      <c r="V827" s="49"/>
      <c r="W827" s="49"/>
      <c r="X827" s="40">
        <f t="shared" si="102"/>
        <v>0</v>
      </c>
    </row>
    <row r="828" spans="2:24" ht="31.5">
      <c r="B828" s="309"/>
      <c r="C828" s="309"/>
      <c r="D828" s="305"/>
      <c r="E828" s="136" t="s">
        <v>605</v>
      </c>
      <c r="F828" s="49"/>
      <c r="G828" s="129"/>
      <c r="H828" s="220"/>
      <c r="I828" s="252">
        <v>3210</v>
      </c>
      <c r="J828" s="21">
        <v>80000</v>
      </c>
      <c r="K828" s="49"/>
      <c r="L828" s="49"/>
      <c r="M828" s="49"/>
      <c r="N828" s="49"/>
      <c r="O828" s="49"/>
      <c r="P828" s="49">
        <v>80000</v>
      </c>
      <c r="Q828" s="49"/>
      <c r="R828" s="49"/>
      <c r="S828" s="49"/>
      <c r="T828" s="49"/>
      <c r="U828" s="49"/>
      <c r="V828" s="49"/>
      <c r="W828" s="49"/>
      <c r="X828" s="40">
        <f t="shared" si="102"/>
        <v>80000</v>
      </c>
    </row>
    <row r="829" spans="2:24" ht="15.75">
      <c r="B829" s="299" t="s">
        <v>876</v>
      </c>
      <c r="C829" s="299" t="s">
        <v>714</v>
      </c>
      <c r="D829" s="303" t="s">
        <v>885</v>
      </c>
      <c r="E829" s="94"/>
      <c r="F829" s="76"/>
      <c r="G829" s="99"/>
      <c r="H829" s="224"/>
      <c r="I829" s="255"/>
      <c r="J829" s="211">
        <f>J830+J831+J832+J833+J840+J844+J834+J835+J838+J837+J836</f>
        <v>3365616.33</v>
      </c>
      <c r="K829" s="211">
        <f aca="true" t="shared" si="106" ref="K829:W829">K830+K831+K832+K833+K840+K844+K834+K835+K838+K837+K836</f>
        <v>0</v>
      </c>
      <c r="L829" s="211">
        <f t="shared" si="106"/>
        <v>1345116.33</v>
      </c>
      <c r="M829" s="211">
        <f t="shared" si="106"/>
        <v>0</v>
      </c>
      <c r="N829" s="211">
        <f t="shared" si="106"/>
        <v>0</v>
      </c>
      <c r="O829" s="211">
        <f t="shared" si="106"/>
        <v>280625</v>
      </c>
      <c r="P829" s="211">
        <f t="shared" si="106"/>
        <v>70625</v>
      </c>
      <c r="Q829" s="211">
        <f t="shared" si="106"/>
        <v>1320625</v>
      </c>
      <c r="R829" s="211">
        <f t="shared" si="106"/>
        <v>107625</v>
      </c>
      <c r="S829" s="211">
        <f t="shared" si="106"/>
        <v>164625</v>
      </c>
      <c r="T829" s="211">
        <f t="shared" si="106"/>
        <v>47125</v>
      </c>
      <c r="U829" s="211">
        <f t="shared" si="106"/>
        <v>14625</v>
      </c>
      <c r="V829" s="211">
        <f t="shared" si="106"/>
        <v>14625</v>
      </c>
      <c r="W829" s="211">
        <f t="shared" si="106"/>
        <v>1566067.53</v>
      </c>
      <c r="X829" s="184">
        <f t="shared" si="102"/>
        <v>1770298.8</v>
      </c>
    </row>
    <row r="830" spans="2:24" ht="94.5">
      <c r="B830" s="299"/>
      <c r="C830" s="299"/>
      <c r="D830" s="303"/>
      <c r="E830" s="19" t="s">
        <v>609</v>
      </c>
      <c r="F830" s="66">
        <v>540490</v>
      </c>
      <c r="G830" s="18">
        <f aca="true" t="shared" si="107" ref="G830:G835">100%-((F830-H830)/F830)</f>
        <v>0.20536920202038889</v>
      </c>
      <c r="H830" s="218">
        <v>111000</v>
      </c>
      <c r="I830" s="251">
        <v>3132</v>
      </c>
      <c r="J830" s="32">
        <v>168187.97</v>
      </c>
      <c r="K830" s="49"/>
      <c r="L830" s="32">
        <v>168187.97</v>
      </c>
      <c r="M830" s="49"/>
      <c r="N830" s="49"/>
      <c r="O830" s="49"/>
      <c r="P830" s="49"/>
      <c r="Q830" s="49"/>
      <c r="R830" s="49"/>
      <c r="S830" s="49"/>
      <c r="T830" s="49"/>
      <c r="U830" s="49"/>
      <c r="V830" s="49"/>
      <c r="W830" s="49">
        <v>168187.97</v>
      </c>
      <c r="X830" s="40">
        <f t="shared" si="102"/>
        <v>0</v>
      </c>
    </row>
    <row r="831" spans="2:24" ht="63">
      <c r="B831" s="299"/>
      <c r="C831" s="299"/>
      <c r="D831" s="303"/>
      <c r="E831" s="10" t="s">
        <v>114</v>
      </c>
      <c r="F831" s="76">
        <v>1042551</v>
      </c>
      <c r="G831" s="18">
        <f t="shared" si="107"/>
        <v>0.39277043521132293</v>
      </c>
      <c r="H831" s="224">
        <v>409483.21</v>
      </c>
      <c r="I831" s="255">
        <v>3132</v>
      </c>
      <c r="J831" s="9">
        <v>6482.72</v>
      </c>
      <c r="K831" s="49"/>
      <c r="L831" s="9">
        <v>6482.72</v>
      </c>
      <c r="M831" s="49"/>
      <c r="N831" s="49"/>
      <c r="O831" s="49"/>
      <c r="P831" s="49"/>
      <c r="Q831" s="49"/>
      <c r="R831" s="49"/>
      <c r="S831" s="49"/>
      <c r="T831" s="49"/>
      <c r="U831" s="49"/>
      <c r="V831" s="49"/>
      <c r="W831" s="49">
        <v>6482.72</v>
      </c>
      <c r="X831" s="40">
        <f t="shared" si="102"/>
        <v>0</v>
      </c>
    </row>
    <row r="832" spans="2:24" ht="47.25">
      <c r="B832" s="299"/>
      <c r="C832" s="299"/>
      <c r="D832" s="303"/>
      <c r="E832" s="28" t="s">
        <v>62</v>
      </c>
      <c r="F832" s="76">
        <v>1012910</v>
      </c>
      <c r="G832" s="18">
        <f t="shared" si="107"/>
        <v>0.3662252322516314</v>
      </c>
      <c r="H832" s="224">
        <v>370953.2</v>
      </c>
      <c r="I832" s="255">
        <v>3132</v>
      </c>
      <c r="J832" s="9">
        <v>360763.46</v>
      </c>
      <c r="K832" s="49"/>
      <c r="L832" s="9">
        <v>360763.46</v>
      </c>
      <c r="M832" s="49"/>
      <c r="N832" s="49"/>
      <c r="O832" s="49"/>
      <c r="P832" s="49"/>
      <c r="Q832" s="49"/>
      <c r="R832" s="49"/>
      <c r="S832" s="49"/>
      <c r="T832" s="49"/>
      <c r="U832" s="49"/>
      <c r="V832" s="49"/>
      <c r="W832" s="49">
        <v>360763.46</v>
      </c>
      <c r="X832" s="40">
        <f t="shared" si="102"/>
        <v>0</v>
      </c>
    </row>
    <row r="833" spans="2:24" ht="47.25">
      <c r="B833" s="299"/>
      <c r="C833" s="299"/>
      <c r="D833" s="303"/>
      <c r="E833" s="28" t="s">
        <v>63</v>
      </c>
      <c r="F833" s="76">
        <v>1042551</v>
      </c>
      <c r="G833" s="18">
        <f t="shared" si="107"/>
        <v>0.39277043521132293</v>
      </c>
      <c r="H833" s="224">
        <v>409483.21</v>
      </c>
      <c r="I833" s="255">
        <v>3132</v>
      </c>
      <c r="J833" s="9">
        <v>2684.92</v>
      </c>
      <c r="K833" s="49"/>
      <c r="L833" s="9">
        <v>2684.92</v>
      </c>
      <c r="M833" s="49"/>
      <c r="N833" s="49"/>
      <c r="O833" s="49"/>
      <c r="P833" s="49"/>
      <c r="Q833" s="49"/>
      <c r="R833" s="49"/>
      <c r="S833" s="49"/>
      <c r="T833" s="49"/>
      <c r="U833" s="49"/>
      <c r="V833" s="49"/>
      <c r="W833" s="49">
        <v>2684.92</v>
      </c>
      <c r="X833" s="40">
        <f t="shared" si="102"/>
        <v>0</v>
      </c>
    </row>
    <row r="834" spans="2:24" ht="31.5">
      <c r="B834" s="299"/>
      <c r="C834" s="299"/>
      <c r="D834" s="303"/>
      <c r="E834" s="130" t="s">
        <v>606</v>
      </c>
      <c r="F834" s="66">
        <v>704692</v>
      </c>
      <c r="G834" s="18">
        <f t="shared" si="107"/>
        <v>0.07095298371487113</v>
      </c>
      <c r="H834" s="218">
        <v>50000</v>
      </c>
      <c r="I834" s="251">
        <v>3132</v>
      </c>
      <c r="J834" s="66">
        <v>50000</v>
      </c>
      <c r="K834" s="49"/>
      <c r="L834" s="49"/>
      <c r="M834" s="49"/>
      <c r="N834" s="49"/>
      <c r="O834" s="49">
        <v>50000</v>
      </c>
      <c r="P834" s="49"/>
      <c r="Q834" s="49"/>
      <c r="R834" s="49"/>
      <c r="S834" s="49"/>
      <c r="T834" s="49"/>
      <c r="U834" s="49"/>
      <c r="V834" s="49"/>
      <c r="W834" s="49"/>
      <c r="X834" s="40">
        <f t="shared" si="102"/>
        <v>50000</v>
      </c>
    </row>
    <row r="835" spans="2:24" ht="78.75">
      <c r="B835" s="299"/>
      <c r="C835" s="299"/>
      <c r="D835" s="303"/>
      <c r="E835" s="130" t="s">
        <v>607</v>
      </c>
      <c r="F835" s="66">
        <v>540490</v>
      </c>
      <c r="G835" s="18">
        <f t="shared" si="107"/>
        <v>0.20536920202038889</v>
      </c>
      <c r="H835" s="218">
        <v>111000</v>
      </c>
      <c r="I835" s="251">
        <v>3132</v>
      </c>
      <c r="J835" s="66">
        <v>110000</v>
      </c>
      <c r="K835" s="49"/>
      <c r="L835" s="49"/>
      <c r="M835" s="49"/>
      <c r="N835" s="49"/>
      <c r="O835" s="49">
        <v>110000</v>
      </c>
      <c r="P835" s="49"/>
      <c r="Q835" s="49"/>
      <c r="R835" s="49"/>
      <c r="S835" s="49"/>
      <c r="T835" s="49"/>
      <c r="U835" s="49"/>
      <c r="V835" s="49"/>
      <c r="W835" s="49">
        <f>91449.6+1413.39</f>
        <v>92862.99</v>
      </c>
      <c r="X835" s="40">
        <f t="shared" si="102"/>
        <v>17137.009999999995</v>
      </c>
    </row>
    <row r="836" spans="2:24" ht="31.5">
      <c r="B836" s="299"/>
      <c r="C836" s="299"/>
      <c r="D836" s="303"/>
      <c r="E836" s="130" t="s">
        <v>446</v>
      </c>
      <c r="F836" s="66"/>
      <c r="G836" s="18"/>
      <c r="H836" s="218"/>
      <c r="I836" s="251">
        <v>2281</v>
      </c>
      <c r="J836" s="66">
        <v>150000</v>
      </c>
      <c r="K836" s="49"/>
      <c r="L836" s="49"/>
      <c r="M836" s="49"/>
      <c r="N836" s="49"/>
      <c r="O836" s="49"/>
      <c r="P836" s="49"/>
      <c r="Q836" s="49"/>
      <c r="R836" s="49"/>
      <c r="S836" s="49">
        <v>150000</v>
      </c>
      <c r="T836" s="49"/>
      <c r="U836" s="49"/>
      <c r="V836" s="49"/>
      <c r="W836" s="49"/>
      <c r="X836" s="40">
        <f t="shared" si="102"/>
        <v>150000</v>
      </c>
    </row>
    <row r="837" spans="2:24" ht="78.75">
      <c r="B837" s="299"/>
      <c r="C837" s="299"/>
      <c r="D837" s="303"/>
      <c r="E837" s="130" t="s">
        <v>363</v>
      </c>
      <c r="F837" s="66"/>
      <c r="G837" s="18"/>
      <c r="H837" s="218"/>
      <c r="I837" s="251">
        <v>3132</v>
      </c>
      <c r="J837" s="66">
        <f>100000+93000</f>
        <v>193000</v>
      </c>
      <c r="K837" s="49"/>
      <c r="L837" s="49"/>
      <c r="M837" s="49"/>
      <c r="N837" s="49"/>
      <c r="O837" s="49"/>
      <c r="P837" s="49">
        <v>50000</v>
      </c>
      <c r="Q837" s="49">
        <v>50000</v>
      </c>
      <c r="R837" s="49">
        <v>93000</v>
      </c>
      <c r="S837" s="49"/>
      <c r="T837" s="49"/>
      <c r="U837" s="49"/>
      <c r="V837" s="49"/>
      <c r="W837" s="49"/>
      <c r="X837" s="40">
        <f t="shared" si="102"/>
        <v>193000</v>
      </c>
    </row>
    <row r="838" spans="2:24" ht="47.25">
      <c r="B838" s="299"/>
      <c r="C838" s="299"/>
      <c r="D838" s="303"/>
      <c r="E838" s="137" t="s">
        <v>872</v>
      </c>
      <c r="F838" s="40"/>
      <c r="G838" s="138"/>
      <c r="H838" s="225"/>
      <c r="I838" s="256"/>
      <c r="J838" s="77">
        <f>J839</f>
        <v>20000</v>
      </c>
      <c r="K838" s="77">
        <f aca="true" t="shared" si="108" ref="K838:W838">K839</f>
        <v>0</v>
      </c>
      <c r="L838" s="77">
        <f t="shared" si="108"/>
        <v>0</v>
      </c>
      <c r="M838" s="77">
        <f t="shared" si="108"/>
        <v>0</v>
      </c>
      <c r="N838" s="77">
        <f t="shared" si="108"/>
        <v>0</v>
      </c>
      <c r="O838" s="77">
        <f t="shared" si="108"/>
        <v>0</v>
      </c>
      <c r="P838" s="77">
        <f t="shared" si="108"/>
        <v>0</v>
      </c>
      <c r="Q838" s="77">
        <f t="shared" si="108"/>
        <v>0</v>
      </c>
      <c r="R838" s="77">
        <f t="shared" si="108"/>
        <v>0</v>
      </c>
      <c r="S838" s="77">
        <f t="shared" si="108"/>
        <v>0</v>
      </c>
      <c r="T838" s="77">
        <f t="shared" si="108"/>
        <v>20000</v>
      </c>
      <c r="U838" s="77">
        <f t="shared" si="108"/>
        <v>0</v>
      </c>
      <c r="V838" s="77">
        <f t="shared" si="108"/>
        <v>0</v>
      </c>
      <c r="W838" s="77">
        <f t="shared" si="108"/>
        <v>0</v>
      </c>
      <c r="X838" s="40">
        <f t="shared" si="102"/>
        <v>20000</v>
      </c>
    </row>
    <row r="839" spans="2:24" ht="47.25">
      <c r="B839" s="299"/>
      <c r="C839" s="299"/>
      <c r="D839" s="303"/>
      <c r="E839" s="130" t="s">
        <v>182</v>
      </c>
      <c r="F839" s="49"/>
      <c r="G839" s="18"/>
      <c r="H839" s="220"/>
      <c r="I839" s="252">
        <v>3110</v>
      </c>
      <c r="J839" s="21">
        <v>20000</v>
      </c>
      <c r="K839" s="49"/>
      <c r="L839" s="49"/>
      <c r="M839" s="49"/>
      <c r="N839" s="49"/>
      <c r="O839" s="49"/>
      <c r="P839" s="49"/>
      <c r="Q839" s="49"/>
      <c r="R839" s="49"/>
      <c r="S839" s="49"/>
      <c r="T839" s="49">
        <v>20000</v>
      </c>
      <c r="U839" s="49"/>
      <c r="V839" s="49"/>
      <c r="W839" s="49"/>
      <c r="X839" s="40">
        <f t="shared" si="102"/>
        <v>20000</v>
      </c>
    </row>
    <row r="840" spans="2:24" ht="47.25">
      <c r="B840" s="299"/>
      <c r="C840" s="299"/>
      <c r="D840" s="303"/>
      <c r="E840" s="36" t="s">
        <v>366</v>
      </c>
      <c r="F840" s="76"/>
      <c r="G840" s="99"/>
      <c r="H840" s="224"/>
      <c r="I840" s="255"/>
      <c r="J840" s="37">
        <f>SUM(J841:J843)</f>
        <v>2042362.72</v>
      </c>
      <c r="K840" s="37">
        <f aca="true" t="shared" si="109" ref="K840:W840">SUM(K841:K843)</f>
        <v>0</v>
      </c>
      <c r="L840" s="37">
        <f t="shared" si="109"/>
        <v>779862.72</v>
      </c>
      <c r="M840" s="37">
        <f t="shared" si="109"/>
        <v>0</v>
      </c>
      <c r="N840" s="37">
        <f t="shared" si="109"/>
        <v>0</v>
      </c>
      <c r="O840" s="37">
        <f t="shared" si="109"/>
        <v>0</v>
      </c>
      <c r="P840" s="37">
        <f t="shared" si="109"/>
        <v>0</v>
      </c>
      <c r="Q840" s="37">
        <f t="shared" si="109"/>
        <v>1250000</v>
      </c>
      <c r="R840" s="37">
        <f t="shared" si="109"/>
        <v>0</v>
      </c>
      <c r="S840" s="37">
        <f t="shared" si="109"/>
        <v>0</v>
      </c>
      <c r="T840" s="37">
        <f t="shared" si="109"/>
        <v>12500</v>
      </c>
      <c r="U840" s="37">
        <f t="shared" si="109"/>
        <v>0</v>
      </c>
      <c r="V840" s="37">
        <f t="shared" si="109"/>
        <v>0</v>
      </c>
      <c r="W840" s="37">
        <f t="shared" si="109"/>
        <v>779862.72</v>
      </c>
      <c r="X840" s="40">
        <f t="shared" si="102"/>
        <v>1262500</v>
      </c>
    </row>
    <row r="841" spans="2:24" ht="47.25">
      <c r="B841" s="299"/>
      <c r="C841" s="299"/>
      <c r="D841" s="303"/>
      <c r="E841" s="10" t="s">
        <v>367</v>
      </c>
      <c r="F841" s="76"/>
      <c r="G841" s="99"/>
      <c r="H841" s="224"/>
      <c r="I841" s="255">
        <v>2281</v>
      </c>
      <c r="J841" s="9">
        <v>779862.72</v>
      </c>
      <c r="K841" s="49"/>
      <c r="L841" s="9">
        <v>779862.72</v>
      </c>
      <c r="M841" s="49"/>
      <c r="N841" s="49"/>
      <c r="O841" s="49"/>
      <c r="P841" s="49"/>
      <c r="Q841" s="49"/>
      <c r="R841" s="49"/>
      <c r="S841" s="49"/>
      <c r="T841" s="49"/>
      <c r="U841" s="49"/>
      <c r="V841" s="49"/>
      <c r="W841" s="49">
        <v>779862.72</v>
      </c>
      <c r="X841" s="40">
        <f t="shared" si="102"/>
        <v>0</v>
      </c>
    </row>
    <row r="842" spans="2:24" ht="47.25">
      <c r="B842" s="299"/>
      <c r="C842" s="299"/>
      <c r="D842" s="303"/>
      <c r="E842" s="10" t="s">
        <v>183</v>
      </c>
      <c r="F842" s="76"/>
      <c r="G842" s="99"/>
      <c r="H842" s="224"/>
      <c r="I842" s="255">
        <v>2281</v>
      </c>
      <c r="J842" s="9">
        <f>50000-37500</f>
        <v>12500</v>
      </c>
      <c r="K842" s="49"/>
      <c r="L842" s="49"/>
      <c r="M842" s="49"/>
      <c r="N842" s="49"/>
      <c r="O842" s="49"/>
      <c r="P842" s="49"/>
      <c r="Q842" s="49"/>
      <c r="R842" s="49"/>
      <c r="S842" s="49"/>
      <c r="T842" s="49">
        <f>50000-37500</f>
        <v>12500</v>
      </c>
      <c r="U842" s="49"/>
      <c r="V842" s="49"/>
      <c r="W842" s="49"/>
      <c r="X842" s="40">
        <f t="shared" si="102"/>
        <v>12500</v>
      </c>
    </row>
    <row r="843" spans="2:24" ht="31.5">
      <c r="B843" s="299"/>
      <c r="C843" s="299"/>
      <c r="D843" s="303"/>
      <c r="E843" s="10" t="s">
        <v>184</v>
      </c>
      <c r="F843" s="76"/>
      <c r="G843" s="99"/>
      <c r="H843" s="224"/>
      <c r="I843" s="255">
        <v>2281</v>
      </c>
      <c r="J843" s="9">
        <f>1300000-50000</f>
        <v>1250000</v>
      </c>
      <c r="K843" s="49"/>
      <c r="L843" s="49"/>
      <c r="M843" s="49"/>
      <c r="N843" s="49"/>
      <c r="O843" s="49"/>
      <c r="P843" s="49"/>
      <c r="Q843" s="49">
        <f>1300000-50000</f>
        <v>1250000</v>
      </c>
      <c r="R843" s="49"/>
      <c r="S843" s="49"/>
      <c r="T843" s="49"/>
      <c r="U843" s="49"/>
      <c r="V843" s="49"/>
      <c r="W843" s="49"/>
      <c r="X843" s="40">
        <f t="shared" si="102"/>
        <v>1250000</v>
      </c>
    </row>
    <row r="844" spans="2:24" ht="47.25">
      <c r="B844" s="299"/>
      <c r="C844" s="299"/>
      <c r="D844" s="303"/>
      <c r="E844" s="36" t="s">
        <v>218</v>
      </c>
      <c r="F844" s="76"/>
      <c r="G844" s="99"/>
      <c r="H844" s="224"/>
      <c r="I844" s="255"/>
      <c r="J844" s="38">
        <f>SUM(J845:J848)</f>
        <v>262134.54</v>
      </c>
      <c r="K844" s="38">
        <f aca="true" t="shared" si="110" ref="K844:W844">SUM(K845:K848)</f>
        <v>0</v>
      </c>
      <c r="L844" s="38">
        <f t="shared" si="110"/>
        <v>27134.54</v>
      </c>
      <c r="M844" s="38">
        <f t="shared" si="110"/>
        <v>0</v>
      </c>
      <c r="N844" s="38">
        <f t="shared" si="110"/>
        <v>0</v>
      </c>
      <c r="O844" s="38">
        <f t="shared" si="110"/>
        <v>120625</v>
      </c>
      <c r="P844" s="38">
        <f t="shared" si="110"/>
        <v>20625</v>
      </c>
      <c r="Q844" s="38">
        <f t="shared" si="110"/>
        <v>20625</v>
      </c>
      <c r="R844" s="38">
        <f t="shared" si="110"/>
        <v>14625</v>
      </c>
      <c r="S844" s="38">
        <f t="shared" si="110"/>
        <v>14625</v>
      </c>
      <c r="T844" s="38">
        <f t="shared" si="110"/>
        <v>14625</v>
      </c>
      <c r="U844" s="38">
        <f t="shared" si="110"/>
        <v>14625</v>
      </c>
      <c r="V844" s="38">
        <f t="shared" si="110"/>
        <v>14625</v>
      </c>
      <c r="W844" s="38">
        <f t="shared" si="110"/>
        <v>155222.75</v>
      </c>
      <c r="X844" s="40">
        <f t="shared" si="102"/>
        <v>77661.79000000001</v>
      </c>
    </row>
    <row r="845" spans="2:24" ht="94.5">
      <c r="B845" s="299"/>
      <c r="C845" s="299"/>
      <c r="D845" s="303"/>
      <c r="E845" s="33" t="s">
        <v>64</v>
      </c>
      <c r="F845" s="76"/>
      <c r="G845" s="99"/>
      <c r="H845" s="224"/>
      <c r="I845" s="255">
        <v>2281</v>
      </c>
      <c r="J845" s="9">
        <v>11233</v>
      </c>
      <c r="K845" s="49"/>
      <c r="L845" s="9">
        <v>11233</v>
      </c>
      <c r="M845" s="49"/>
      <c r="N845" s="49"/>
      <c r="O845" s="49"/>
      <c r="P845" s="49"/>
      <c r="Q845" s="49"/>
      <c r="R845" s="49"/>
      <c r="S845" s="49"/>
      <c r="T845" s="49"/>
      <c r="U845" s="49"/>
      <c r="V845" s="49"/>
      <c r="W845" s="49">
        <v>11233</v>
      </c>
      <c r="X845" s="40">
        <f t="shared" si="102"/>
        <v>0</v>
      </c>
    </row>
    <row r="846" spans="2:24" ht="63">
      <c r="B846" s="299"/>
      <c r="C846" s="299"/>
      <c r="D846" s="303"/>
      <c r="E846" s="33" t="s">
        <v>65</v>
      </c>
      <c r="F846" s="76"/>
      <c r="G846" s="99"/>
      <c r="H846" s="224"/>
      <c r="I846" s="255">
        <v>2281</v>
      </c>
      <c r="J846" s="9">
        <v>15901.54</v>
      </c>
      <c r="K846" s="49"/>
      <c r="L846" s="9">
        <v>15901.54</v>
      </c>
      <c r="M846" s="49"/>
      <c r="N846" s="49"/>
      <c r="O846" s="49"/>
      <c r="P846" s="49"/>
      <c r="Q846" s="49"/>
      <c r="R846" s="49"/>
      <c r="S846" s="49"/>
      <c r="T846" s="49"/>
      <c r="U846" s="49"/>
      <c r="V846" s="49"/>
      <c r="W846" s="49">
        <v>15901.54</v>
      </c>
      <c r="X846" s="40">
        <f t="shared" si="102"/>
        <v>0</v>
      </c>
    </row>
    <row r="847" spans="2:24" ht="94.5">
      <c r="B847" s="299"/>
      <c r="C847" s="299"/>
      <c r="D847" s="303"/>
      <c r="E847" s="33" t="s">
        <v>687</v>
      </c>
      <c r="F847" s="76"/>
      <c r="G847" s="99"/>
      <c r="H847" s="224"/>
      <c r="I847" s="255">
        <v>2281</v>
      </c>
      <c r="J847" s="9">
        <v>85000</v>
      </c>
      <c r="K847" s="49"/>
      <c r="L847" s="49"/>
      <c r="M847" s="49"/>
      <c r="N847" s="49"/>
      <c r="O847" s="49">
        <v>10625</v>
      </c>
      <c r="P847" s="49">
        <v>10625</v>
      </c>
      <c r="Q847" s="49">
        <v>10625</v>
      </c>
      <c r="R847" s="49">
        <v>10625</v>
      </c>
      <c r="S847" s="49">
        <v>10625</v>
      </c>
      <c r="T847" s="49">
        <v>10625</v>
      </c>
      <c r="U847" s="49">
        <v>10625</v>
      </c>
      <c r="V847" s="49">
        <v>10625</v>
      </c>
      <c r="W847" s="49">
        <f>12000+7000</f>
        <v>19000</v>
      </c>
      <c r="X847" s="40">
        <f t="shared" si="102"/>
        <v>44750</v>
      </c>
    </row>
    <row r="848" spans="2:24" ht="63">
      <c r="B848" s="299"/>
      <c r="C848" s="299"/>
      <c r="D848" s="303"/>
      <c r="E848" s="33" t="s">
        <v>688</v>
      </c>
      <c r="F848" s="76"/>
      <c r="G848" s="99"/>
      <c r="H848" s="224"/>
      <c r="I848" s="255">
        <v>2281</v>
      </c>
      <c r="J848" s="9">
        <v>150000</v>
      </c>
      <c r="K848" s="49"/>
      <c r="L848" s="49"/>
      <c r="M848" s="49"/>
      <c r="N848" s="49"/>
      <c r="O848" s="49">
        <v>110000</v>
      </c>
      <c r="P848" s="49">
        <v>10000</v>
      </c>
      <c r="Q848" s="49">
        <v>10000</v>
      </c>
      <c r="R848" s="49">
        <v>4000</v>
      </c>
      <c r="S848" s="49">
        <v>4000</v>
      </c>
      <c r="T848" s="49">
        <v>4000</v>
      </c>
      <c r="U848" s="49">
        <v>4000</v>
      </c>
      <c r="V848" s="49">
        <v>4000</v>
      </c>
      <c r="W848" s="49">
        <f>96329.71+12758.5</f>
        <v>109088.21</v>
      </c>
      <c r="X848" s="40">
        <f t="shared" si="102"/>
        <v>32911.78999999999</v>
      </c>
    </row>
    <row r="849" spans="2:24" ht="15.75">
      <c r="B849" s="194"/>
      <c r="C849" s="195"/>
      <c r="D849" s="297" t="s">
        <v>816</v>
      </c>
      <c r="E849" s="298"/>
      <c r="F849" s="142"/>
      <c r="G849" s="143"/>
      <c r="H849" s="243"/>
      <c r="I849" s="260"/>
      <c r="J849" s="58">
        <f>J852+J850</f>
        <v>399999.22</v>
      </c>
      <c r="K849" s="58">
        <f aca="true" t="shared" si="111" ref="K849:W849">K852+K850</f>
        <v>0</v>
      </c>
      <c r="L849" s="58">
        <f t="shared" si="111"/>
        <v>84949.29000000001</v>
      </c>
      <c r="M849" s="58">
        <f t="shared" si="111"/>
        <v>0</v>
      </c>
      <c r="N849" s="58">
        <f t="shared" si="111"/>
        <v>0</v>
      </c>
      <c r="O849" s="58">
        <f t="shared" si="111"/>
        <v>80977.93</v>
      </c>
      <c r="P849" s="58">
        <f t="shared" si="111"/>
        <v>137036</v>
      </c>
      <c r="Q849" s="58">
        <f t="shared" si="111"/>
        <v>0</v>
      </c>
      <c r="R849" s="58">
        <f t="shared" si="111"/>
        <v>97036</v>
      </c>
      <c r="S849" s="58">
        <f t="shared" si="111"/>
        <v>0</v>
      </c>
      <c r="T849" s="58">
        <f t="shared" si="111"/>
        <v>0</v>
      </c>
      <c r="U849" s="58">
        <f t="shared" si="111"/>
        <v>0</v>
      </c>
      <c r="V849" s="58">
        <f t="shared" si="111"/>
        <v>0</v>
      </c>
      <c r="W849" s="58">
        <f t="shared" si="111"/>
        <v>216872.22</v>
      </c>
      <c r="X849" s="60">
        <f t="shared" si="102"/>
        <v>183126.99999999997</v>
      </c>
    </row>
    <row r="850" spans="2:24" ht="15.75">
      <c r="B850" s="310" t="s">
        <v>694</v>
      </c>
      <c r="C850" s="310" t="s">
        <v>692</v>
      </c>
      <c r="D850" s="290" t="s">
        <v>70</v>
      </c>
      <c r="E850" s="265"/>
      <c r="F850" s="57"/>
      <c r="G850" s="61"/>
      <c r="H850" s="57"/>
      <c r="I850" s="247"/>
      <c r="J850" s="192">
        <f>J851</f>
        <v>80000</v>
      </c>
      <c r="K850" s="192">
        <f aca="true" t="shared" si="112" ref="K850:W850">K851</f>
        <v>0</v>
      </c>
      <c r="L850" s="192">
        <f t="shared" si="112"/>
        <v>0</v>
      </c>
      <c r="M850" s="192">
        <f t="shared" si="112"/>
        <v>0</v>
      </c>
      <c r="N850" s="192">
        <f t="shared" si="112"/>
        <v>0</v>
      </c>
      <c r="O850" s="192">
        <f t="shared" si="112"/>
        <v>0</v>
      </c>
      <c r="P850" s="192">
        <f t="shared" si="112"/>
        <v>80000</v>
      </c>
      <c r="Q850" s="192">
        <f t="shared" si="112"/>
        <v>0</v>
      </c>
      <c r="R850" s="192">
        <f t="shared" si="112"/>
        <v>0</v>
      </c>
      <c r="S850" s="192">
        <f t="shared" si="112"/>
        <v>0</v>
      </c>
      <c r="T850" s="192">
        <f t="shared" si="112"/>
        <v>0</v>
      </c>
      <c r="U850" s="192">
        <f t="shared" si="112"/>
        <v>0</v>
      </c>
      <c r="V850" s="192">
        <f t="shared" si="112"/>
        <v>0</v>
      </c>
      <c r="W850" s="192">
        <f t="shared" si="112"/>
        <v>79900</v>
      </c>
      <c r="X850" s="184">
        <f t="shared" si="102"/>
        <v>100</v>
      </c>
    </row>
    <row r="851" spans="2:24" ht="31.5">
      <c r="B851" s="310"/>
      <c r="C851" s="310"/>
      <c r="D851" s="290"/>
      <c r="E851" s="31" t="s">
        <v>482</v>
      </c>
      <c r="F851" s="57"/>
      <c r="G851" s="61"/>
      <c r="H851" s="57"/>
      <c r="I851" s="247">
        <v>3110</v>
      </c>
      <c r="J851" s="57">
        <v>80000</v>
      </c>
      <c r="K851" s="57"/>
      <c r="L851" s="57"/>
      <c r="M851" s="57"/>
      <c r="N851" s="57"/>
      <c r="O851" s="57"/>
      <c r="P851" s="57">
        <v>80000</v>
      </c>
      <c r="Q851" s="57"/>
      <c r="R851" s="57"/>
      <c r="S851" s="57"/>
      <c r="T851" s="57"/>
      <c r="U851" s="57"/>
      <c r="V851" s="57"/>
      <c r="W851" s="57">
        <v>79900</v>
      </c>
      <c r="X851" s="40">
        <f t="shared" si="102"/>
        <v>100</v>
      </c>
    </row>
    <row r="852" spans="2:24" ht="15.75">
      <c r="B852" s="299" t="s">
        <v>876</v>
      </c>
      <c r="C852" s="299" t="s">
        <v>714</v>
      </c>
      <c r="D852" s="303" t="s">
        <v>885</v>
      </c>
      <c r="E852" s="204"/>
      <c r="F852" s="57"/>
      <c r="G852" s="61"/>
      <c r="H852" s="214"/>
      <c r="I852" s="247"/>
      <c r="J852" s="192">
        <f>J853+J857+J860+J861+J862+J863</f>
        <v>319999.22</v>
      </c>
      <c r="K852" s="192">
        <f aca="true" t="shared" si="113" ref="K852:W852">K853+K857+K860+K861+K862+K863</f>
        <v>0</v>
      </c>
      <c r="L852" s="192">
        <f t="shared" si="113"/>
        <v>84949.29000000001</v>
      </c>
      <c r="M852" s="192">
        <f t="shared" si="113"/>
        <v>0</v>
      </c>
      <c r="N852" s="192">
        <f t="shared" si="113"/>
        <v>0</v>
      </c>
      <c r="O852" s="192">
        <f t="shared" si="113"/>
        <v>80977.93</v>
      </c>
      <c r="P852" s="192">
        <f t="shared" si="113"/>
        <v>57036</v>
      </c>
      <c r="Q852" s="192">
        <f t="shared" si="113"/>
        <v>0</v>
      </c>
      <c r="R852" s="192">
        <f t="shared" si="113"/>
        <v>97036</v>
      </c>
      <c r="S852" s="192">
        <f t="shared" si="113"/>
        <v>0</v>
      </c>
      <c r="T852" s="192">
        <f t="shared" si="113"/>
        <v>0</v>
      </c>
      <c r="U852" s="192">
        <f t="shared" si="113"/>
        <v>0</v>
      </c>
      <c r="V852" s="192">
        <f t="shared" si="113"/>
        <v>0</v>
      </c>
      <c r="W852" s="192">
        <f t="shared" si="113"/>
        <v>136972.22</v>
      </c>
      <c r="X852" s="184">
        <f t="shared" si="102"/>
        <v>183026.99999999997</v>
      </c>
    </row>
    <row r="853" spans="2:24" ht="63">
      <c r="B853" s="299"/>
      <c r="C853" s="299"/>
      <c r="D853" s="303"/>
      <c r="E853" s="39" t="s">
        <v>66</v>
      </c>
      <c r="F853" s="57"/>
      <c r="G853" s="61"/>
      <c r="H853" s="214"/>
      <c r="I853" s="247"/>
      <c r="J853" s="40">
        <f>J854+J855+J856</f>
        <v>223472</v>
      </c>
      <c r="K853" s="40">
        <f aca="true" t="shared" si="114" ref="K853:W853">K854+K855+K856</f>
        <v>0</v>
      </c>
      <c r="L853" s="40">
        <f t="shared" si="114"/>
        <v>5.7</v>
      </c>
      <c r="M853" s="40">
        <f t="shared" si="114"/>
        <v>0</v>
      </c>
      <c r="N853" s="40">
        <f t="shared" si="114"/>
        <v>0</v>
      </c>
      <c r="O853" s="40">
        <f t="shared" si="114"/>
        <v>29394.3</v>
      </c>
      <c r="P853" s="40">
        <f t="shared" si="114"/>
        <v>97036</v>
      </c>
      <c r="Q853" s="40">
        <f t="shared" si="114"/>
        <v>0</v>
      </c>
      <c r="R853" s="40">
        <f t="shared" si="114"/>
        <v>97036</v>
      </c>
      <c r="S853" s="40">
        <f t="shared" si="114"/>
        <v>0</v>
      </c>
      <c r="T853" s="40">
        <f t="shared" si="114"/>
        <v>0</v>
      </c>
      <c r="U853" s="40">
        <f t="shared" si="114"/>
        <v>0</v>
      </c>
      <c r="V853" s="40">
        <f t="shared" si="114"/>
        <v>0</v>
      </c>
      <c r="W853" s="40">
        <f t="shared" si="114"/>
        <v>40445</v>
      </c>
      <c r="X853" s="40">
        <f t="shared" si="102"/>
        <v>183027</v>
      </c>
    </row>
    <row r="854" spans="2:24" ht="63">
      <c r="B854" s="299"/>
      <c r="C854" s="299"/>
      <c r="D854" s="303"/>
      <c r="E854" s="11" t="s">
        <v>67</v>
      </c>
      <c r="F854" s="57"/>
      <c r="G854" s="61"/>
      <c r="H854" s="214"/>
      <c r="I854" s="247">
        <v>3110</v>
      </c>
      <c r="J854" s="9">
        <v>5.7</v>
      </c>
      <c r="K854" s="49"/>
      <c r="L854" s="49">
        <v>5.7</v>
      </c>
      <c r="M854" s="49"/>
      <c r="N854" s="49"/>
      <c r="O854" s="49"/>
      <c r="P854" s="49"/>
      <c r="Q854" s="49"/>
      <c r="R854" s="49"/>
      <c r="S854" s="49"/>
      <c r="T854" s="49"/>
      <c r="U854" s="49"/>
      <c r="V854" s="49"/>
      <c r="W854" s="49">
        <v>5.7</v>
      </c>
      <c r="X854" s="40">
        <f t="shared" si="102"/>
        <v>0</v>
      </c>
    </row>
    <row r="855" spans="2:24" ht="47.25">
      <c r="B855" s="299"/>
      <c r="C855" s="299"/>
      <c r="D855" s="303"/>
      <c r="E855" s="139" t="s">
        <v>689</v>
      </c>
      <c r="F855" s="21"/>
      <c r="G855" s="140"/>
      <c r="H855" s="217"/>
      <c r="I855" s="250">
        <v>3110</v>
      </c>
      <c r="J855" s="141">
        <v>29394.3</v>
      </c>
      <c r="K855" s="200"/>
      <c r="L855" s="200"/>
      <c r="M855" s="200"/>
      <c r="N855" s="200"/>
      <c r="O855" s="200">
        <v>29394.3</v>
      </c>
      <c r="P855" s="200"/>
      <c r="Q855" s="200"/>
      <c r="R855" s="200"/>
      <c r="S855" s="200"/>
      <c r="T855" s="200"/>
      <c r="U855" s="200"/>
      <c r="V855" s="200"/>
      <c r="W855" s="49">
        <v>29394.3</v>
      </c>
      <c r="X855" s="40">
        <f t="shared" si="102"/>
        <v>0</v>
      </c>
    </row>
    <row r="856" spans="2:24" ht="47.25">
      <c r="B856" s="299"/>
      <c r="C856" s="299"/>
      <c r="D856" s="303"/>
      <c r="E856" s="139" t="s">
        <v>146</v>
      </c>
      <c r="F856" s="21"/>
      <c r="G856" s="140"/>
      <c r="H856" s="217"/>
      <c r="I856" s="250">
        <v>3132</v>
      </c>
      <c r="J856" s="141">
        <v>194072</v>
      </c>
      <c r="K856" s="200"/>
      <c r="L856" s="200"/>
      <c r="M856" s="200"/>
      <c r="N856" s="200"/>
      <c r="O856" s="200"/>
      <c r="P856" s="200">
        <v>97036</v>
      </c>
      <c r="Q856" s="200"/>
      <c r="R856" s="200">
        <v>97036</v>
      </c>
      <c r="S856" s="200"/>
      <c r="T856" s="200"/>
      <c r="U856" s="200"/>
      <c r="V856" s="200"/>
      <c r="W856" s="49">
        <v>11045</v>
      </c>
      <c r="X856" s="40">
        <f t="shared" si="102"/>
        <v>183027</v>
      </c>
    </row>
    <row r="857" spans="2:24" ht="63">
      <c r="B857" s="299"/>
      <c r="C857" s="299"/>
      <c r="D857" s="303"/>
      <c r="E857" s="39" t="s">
        <v>68</v>
      </c>
      <c r="F857" s="57"/>
      <c r="G857" s="61"/>
      <c r="H857" s="214"/>
      <c r="I857" s="247"/>
      <c r="J857" s="40">
        <f>J858+J859</f>
        <v>38611.22</v>
      </c>
      <c r="K857" s="40">
        <f aca="true" t="shared" si="115" ref="K857:W857">K858+K859</f>
        <v>0</v>
      </c>
      <c r="L857" s="40">
        <f t="shared" si="115"/>
        <v>27027.59</v>
      </c>
      <c r="M857" s="40">
        <f t="shared" si="115"/>
        <v>0</v>
      </c>
      <c r="N857" s="40">
        <f t="shared" si="115"/>
        <v>0</v>
      </c>
      <c r="O857" s="40">
        <f t="shared" si="115"/>
        <v>11583.63</v>
      </c>
      <c r="P857" s="40">
        <f t="shared" si="115"/>
        <v>0</v>
      </c>
      <c r="Q857" s="40">
        <f t="shared" si="115"/>
        <v>0</v>
      </c>
      <c r="R857" s="40">
        <f t="shared" si="115"/>
        <v>0</v>
      </c>
      <c r="S857" s="40">
        <f t="shared" si="115"/>
        <v>0</v>
      </c>
      <c r="T857" s="40">
        <f t="shared" si="115"/>
        <v>0</v>
      </c>
      <c r="U857" s="40">
        <f t="shared" si="115"/>
        <v>0</v>
      </c>
      <c r="V857" s="40">
        <f t="shared" si="115"/>
        <v>0</v>
      </c>
      <c r="W857" s="40">
        <f t="shared" si="115"/>
        <v>38611.22</v>
      </c>
      <c r="X857" s="40">
        <f t="shared" si="102"/>
        <v>0</v>
      </c>
    </row>
    <row r="858" spans="2:24" ht="78.75">
      <c r="B858" s="299"/>
      <c r="C858" s="299"/>
      <c r="D858" s="303"/>
      <c r="E858" s="41" t="s">
        <v>95</v>
      </c>
      <c r="F858" s="57"/>
      <c r="G858" s="61"/>
      <c r="H858" s="214"/>
      <c r="I858" s="247">
        <v>3142</v>
      </c>
      <c r="J858" s="9">
        <v>27027.59</v>
      </c>
      <c r="K858" s="49"/>
      <c r="L858" s="49">
        <v>27027.59</v>
      </c>
      <c r="M858" s="49"/>
      <c r="N858" s="49"/>
      <c r="O858" s="49"/>
      <c r="P858" s="49"/>
      <c r="Q858" s="49"/>
      <c r="R858" s="49"/>
      <c r="S858" s="49"/>
      <c r="T858" s="49"/>
      <c r="U858" s="49"/>
      <c r="V858" s="49"/>
      <c r="W858" s="49">
        <v>27027.59</v>
      </c>
      <c r="X858" s="40">
        <f t="shared" si="102"/>
        <v>0</v>
      </c>
    </row>
    <row r="859" spans="2:24" ht="47.25">
      <c r="B859" s="299"/>
      <c r="C859" s="299"/>
      <c r="D859" s="303"/>
      <c r="E859" s="139" t="s">
        <v>0</v>
      </c>
      <c r="F859" s="21">
        <v>42140.22</v>
      </c>
      <c r="G859" s="140">
        <v>0.92</v>
      </c>
      <c r="H859" s="217">
        <v>38611.22</v>
      </c>
      <c r="I859" s="250">
        <v>3142</v>
      </c>
      <c r="J859" s="141">
        <v>11583.63</v>
      </c>
      <c r="K859" s="200"/>
      <c r="L859" s="200"/>
      <c r="M859" s="200"/>
      <c r="N859" s="200"/>
      <c r="O859" s="200">
        <v>11583.63</v>
      </c>
      <c r="P859" s="200"/>
      <c r="Q859" s="200"/>
      <c r="R859" s="200"/>
      <c r="S859" s="200"/>
      <c r="T859" s="200"/>
      <c r="U859" s="200"/>
      <c r="V859" s="200"/>
      <c r="W859" s="49">
        <v>11583.63</v>
      </c>
      <c r="X859" s="40">
        <f t="shared" si="102"/>
        <v>0</v>
      </c>
    </row>
    <row r="860" spans="2:24" ht="126">
      <c r="B860" s="299"/>
      <c r="C860" s="299"/>
      <c r="D860" s="303"/>
      <c r="E860" s="42" t="s">
        <v>96</v>
      </c>
      <c r="F860" s="57"/>
      <c r="G860" s="61"/>
      <c r="H860" s="214"/>
      <c r="I860" s="247">
        <v>3110</v>
      </c>
      <c r="J860" s="26">
        <v>57916</v>
      </c>
      <c r="K860" s="26"/>
      <c r="L860" s="49">
        <v>57916</v>
      </c>
      <c r="M860" s="26"/>
      <c r="N860" s="26"/>
      <c r="O860" s="26"/>
      <c r="P860" s="26"/>
      <c r="Q860" s="26"/>
      <c r="R860" s="26"/>
      <c r="S860" s="26"/>
      <c r="T860" s="26"/>
      <c r="U860" s="26"/>
      <c r="V860" s="26"/>
      <c r="W860" s="49">
        <v>57916</v>
      </c>
      <c r="X860" s="40">
        <f t="shared" si="102"/>
        <v>0</v>
      </c>
    </row>
    <row r="861" spans="2:24" ht="31.5" hidden="1">
      <c r="B861" s="299"/>
      <c r="C861" s="299"/>
      <c r="D861" s="303"/>
      <c r="E861" s="31" t="s">
        <v>482</v>
      </c>
      <c r="F861" s="21"/>
      <c r="G861" s="140"/>
      <c r="H861" s="217"/>
      <c r="I861" s="250">
        <v>3110</v>
      </c>
      <c r="J861" s="141">
        <f>80000-80000</f>
        <v>0</v>
      </c>
      <c r="K861" s="200"/>
      <c r="L861" s="200"/>
      <c r="M861" s="200"/>
      <c r="N861" s="200"/>
      <c r="O861" s="200">
        <v>40000</v>
      </c>
      <c r="P861" s="200">
        <f>40000-80000</f>
        <v>-40000</v>
      </c>
      <c r="Q861" s="200"/>
      <c r="R861" s="200"/>
      <c r="S861" s="200"/>
      <c r="T861" s="200"/>
      <c r="U861" s="200"/>
      <c r="V861" s="200"/>
      <c r="W861" s="49"/>
      <c r="X861" s="40">
        <f t="shared" si="102"/>
        <v>0</v>
      </c>
    </row>
    <row r="862" spans="2:24" ht="94.5" hidden="1">
      <c r="B862" s="299"/>
      <c r="C862" s="299"/>
      <c r="D862" s="303"/>
      <c r="E862" s="31" t="s">
        <v>483</v>
      </c>
      <c r="F862" s="21">
        <v>1100000</v>
      </c>
      <c r="G862" s="140">
        <v>1</v>
      </c>
      <c r="H862" s="217">
        <v>1100000</v>
      </c>
      <c r="I862" s="250">
        <v>3110</v>
      </c>
      <c r="J862" s="141">
        <f>1100000-1100000</f>
        <v>0</v>
      </c>
      <c r="K862" s="200"/>
      <c r="L862" s="200"/>
      <c r="M862" s="200"/>
      <c r="N862" s="200"/>
      <c r="O862" s="200"/>
      <c r="P862" s="200"/>
      <c r="Q862" s="200"/>
      <c r="R862" s="200">
        <f>550000-550000</f>
        <v>0</v>
      </c>
      <c r="S862" s="200">
        <f>550000-550000</f>
        <v>0</v>
      </c>
      <c r="T862" s="200"/>
      <c r="U862" s="200"/>
      <c r="V862" s="200"/>
      <c r="W862" s="49"/>
      <c r="X862" s="40">
        <f t="shared" si="102"/>
        <v>0</v>
      </c>
    </row>
    <row r="863" spans="2:24" ht="47.25" hidden="1">
      <c r="B863" s="299"/>
      <c r="C863" s="299"/>
      <c r="D863" s="303"/>
      <c r="E863" s="31" t="s">
        <v>553</v>
      </c>
      <c r="F863" s="21">
        <v>194072.78</v>
      </c>
      <c r="G863" s="140">
        <v>1</v>
      </c>
      <c r="H863" s="217">
        <v>194072.78</v>
      </c>
      <c r="I863" s="250">
        <v>3132</v>
      </c>
      <c r="J863" s="141">
        <f>194072-194072</f>
        <v>0</v>
      </c>
      <c r="K863" s="200"/>
      <c r="L863" s="200"/>
      <c r="M863" s="200"/>
      <c r="N863" s="200"/>
      <c r="O863" s="200"/>
      <c r="P863" s="200">
        <f>97036-97036</f>
        <v>0</v>
      </c>
      <c r="Q863" s="200"/>
      <c r="R863" s="200">
        <f>97036-97036</f>
        <v>0</v>
      </c>
      <c r="S863" s="200"/>
      <c r="T863" s="200"/>
      <c r="U863" s="200"/>
      <c r="V863" s="200"/>
      <c r="W863" s="49"/>
      <c r="X863" s="40">
        <f t="shared" si="102"/>
        <v>0</v>
      </c>
    </row>
    <row r="864" spans="2:24" ht="15.75">
      <c r="B864" s="205"/>
      <c r="C864" s="205"/>
      <c r="D864" s="286" t="s">
        <v>589</v>
      </c>
      <c r="E864" s="306"/>
      <c r="F864" s="142"/>
      <c r="G864" s="143"/>
      <c r="H864" s="243"/>
      <c r="I864" s="260"/>
      <c r="J864" s="144">
        <f>J865</f>
        <v>359000</v>
      </c>
      <c r="K864" s="144">
        <f aca="true" t="shared" si="116" ref="K864:W864">K865</f>
        <v>0</v>
      </c>
      <c r="L864" s="144">
        <f t="shared" si="116"/>
        <v>0</v>
      </c>
      <c r="M864" s="144">
        <f t="shared" si="116"/>
        <v>0</v>
      </c>
      <c r="N864" s="144">
        <f t="shared" si="116"/>
        <v>0</v>
      </c>
      <c r="O864" s="144">
        <f t="shared" si="116"/>
        <v>0</v>
      </c>
      <c r="P864" s="144">
        <f t="shared" si="116"/>
        <v>359000</v>
      </c>
      <c r="Q864" s="144">
        <f t="shared" si="116"/>
        <v>0</v>
      </c>
      <c r="R864" s="144">
        <f t="shared" si="116"/>
        <v>0</v>
      </c>
      <c r="S864" s="144">
        <f t="shared" si="116"/>
        <v>0</v>
      </c>
      <c r="T864" s="144">
        <f t="shared" si="116"/>
        <v>0</v>
      </c>
      <c r="U864" s="144">
        <f t="shared" si="116"/>
        <v>0</v>
      </c>
      <c r="V864" s="144">
        <f t="shared" si="116"/>
        <v>0</v>
      </c>
      <c r="W864" s="144">
        <f t="shared" si="116"/>
        <v>0</v>
      </c>
      <c r="X864" s="60">
        <f t="shared" si="102"/>
        <v>359000</v>
      </c>
    </row>
    <row r="865" spans="2:24" ht="15.75">
      <c r="B865" s="307" t="s">
        <v>694</v>
      </c>
      <c r="C865" s="307" t="s">
        <v>692</v>
      </c>
      <c r="D865" s="303" t="s">
        <v>70</v>
      </c>
      <c r="E865" s="42"/>
      <c r="F865" s="57"/>
      <c r="G865" s="61"/>
      <c r="H865" s="214"/>
      <c r="I865" s="247"/>
      <c r="J865" s="210">
        <f>J868+J867+J866</f>
        <v>359000</v>
      </c>
      <c r="K865" s="210">
        <f aca="true" t="shared" si="117" ref="K865:W865">K868+K867+K866</f>
        <v>0</v>
      </c>
      <c r="L865" s="210">
        <f t="shared" si="117"/>
        <v>0</v>
      </c>
      <c r="M865" s="210">
        <f t="shared" si="117"/>
        <v>0</v>
      </c>
      <c r="N865" s="210">
        <f t="shared" si="117"/>
        <v>0</v>
      </c>
      <c r="O865" s="210">
        <f t="shared" si="117"/>
        <v>0</v>
      </c>
      <c r="P865" s="210">
        <f t="shared" si="117"/>
        <v>359000</v>
      </c>
      <c r="Q865" s="210">
        <f t="shared" si="117"/>
        <v>0</v>
      </c>
      <c r="R865" s="210">
        <f t="shared" si="117"/>
        <v>0</v>
      </c>
      <c r="S865" s="210">
        <f t="shared" si="117"/>
        <v>0</v>
      </c>
      <c r="T865" s="210">
        <f t="shared" si="117"/>
        <v>0</v>
      </c>
      <c r="U865" s="210">
        <f t="shared" si="117"/>
        <v>0</v>
      </c>
      <c r="V865" s="210">
        <f t="shared" si="117"/>
        <v>0</v>
      </c>
      <c r="W865" s="210">
        <f t="shared" si="117"/>
        <v>0</v>
      </c>
      <c r="X865" s="184">
        <f t="shared" si="102"/>
        <v>359000</v>
      </c>
    </row>
    <row r="866" spans="2:24" ht="31.5">
      <c r="B866" s="307"/>
      <c r="C866" s="307"/>
      <c r="D866" s="303"/>
      <c r="E866" s="51" t="s">
        <v>590</v>
      </c>
      <c r="F866" s="57"/>
      <c r="G866" s="61"/>
      <c r="H866" s="214"/>
      <c r="I866" s="247">
        <v>3110</v>
      </c>
      <c r="J866" s="9">
        <v>90000</v>
      </c>
      <c r="K866" s="49"/>
      <c r="L866" s="49"/>
      <c r="M866" s="49"/>
      <c r="N866" s="49"/>
      <c r="O866" s="49"/>
      <c r="P866" s="49">
        <v>90000</v>
      </c>
      <c r="Q866" s="49"/>
      <c r="R866" s="49"/>
      <c r="S866" s="49"/>
      <c r="T866" s="49"/>
      <c r="U866" s="49"/>
      <c r="V866" s="49"/>
      <c r="W866" s="49"/>
      <c r="X866" s="40">
        <f t="shared" si="102"/>
        <v>90000</v>
      </c>
    </row>
    <row r="867" spans="2:24" ht="63">
      <c r="B867" s="307"/>
      <c r="C867" s="307"/>
      <c r="D867" s="303"/>
      <c r="E867" s="51" t="s">
        <v>5</v>
      </c>
      <c r="F867" s="57"/>
      <c r="G867" s="61"/>
      <c r="H867" s="214"/>
      <c r="I867" s="247">
        <v>3110</v>
      </c>
      <c r="J867" s="9">
        <v>150000</v>
      </c>
      <c r="K867" s="49"/>
      <c r="L867" s="49"/>
      <c r="M867" s="49"/>
      <c r="N867" s="49"/>
      <c r="O867" s="49"/>
      <c r="P867" s="49">
        <v>150000</v>
      </c>
      <c r="Q867" s="49"/>
      <c r="R867" s="49"/>
      <c r="S867" s="49"/>
      <c r="T867" s="49"/>
      <c r="U867" s="49"/>
      <c r="V867" s="49"/>
      <c r="W867" s="49"/>
      <c r="X867" s="40">
        <f t="shared" si="102"/>
        <v>150000</v>
      </c>
    </row>
    <row r="868" spans="2:24" ht="47.25">
      <c r="B868" s="307"/>
      <c r="C868" s="307"/>
      <c r="D868" s="303"/>
      <c r="E868" s="51" t="s">
        <v>163</v>
      </c>
      <c r="F868" s="57"/>
      <c r="G868" s="61"/>
      <c r="H868" s="214"/>
      <c r="I868" s="247">
        <v>3110</v>
      </c>
      <c r="J868" s="9">
        <v>119000</v>
      </c>
      <c r="K868" s="49"/>
      <c r="L868" s="49"/>
      <c r="M868" s="49"/>
      <c r="N868" s="49"/>
      <c r="O868" s="49"/>
      <c r="P868" s="49">
        <v>119000</v>
      </c>
      <c r="Q868" s="49"/>
      <c r="R868" s="49"/>
      <c r="S868" s="49"/>
      <c r="T868" s="49"/>
      <c r="U868" s="49"/>
      <c r="V868" s="49"/>
      <c r="W868" s="49"/>
      <c r="X868" s="40">
        <f aca="true" t="shared" si="118" ref="X868:X881">K868+L868+M868+N868+O868+P868+Q868+R868+S868+T868-W868</f>
        <v>119000</v>
      </c>
    </row>
    <row r="869" spans="2:24" ht="15.75">
      <c r="B869" s="205"/>
      <c r="C869" s="205"/>
      <c r="D869" s="286" t="s">
        <v>164</v>
      </c>
      <c r="E869" s="306"/>
      <c r="F869" s="142"/>
      <c r="G869" s="143"/>
      <c r="H869" s="243"/>
      <c r="I869" s="260"/>
      <c r="J869" s="144">
        <f>J870+J874+J876</f>
        <v>1428936</v>
      </c>
      <c r="K869" s="144">
        <f aca="true" t="shared" si="119" ref="K869:W869">K870+K874+K876</f>
        <v>0</v>
      </c>
      <c r="L869" s="144">
        <f t="shared" si="119"/>
        <v>0</v>
      </c>
      <c r="M869" s="144">
        <f t="shared" si="119"/>
        <v>309436</v>
      </c>
      <c r="N869" s="144">
        <f t="shared" si="119"/>
        <v>0</v>
      </c>
      <c r="O869" s="144">
        <f t="shared" si="119"/>
        <v>0</v>
      </c>
      <c r="P869" s="144">
        <f t="shared" si="119"/>
        <v>0</v>
      </c>
      <c r="Q869" s="144">
        <f t="shared" si="119"/>
        <v>0</v>
      </c>
      <c r="R869" s="144">
        <f t="shared" si="119"/>
        <v>100000</v>
      </c>
      <c r="S869" s="144">
        <f t="shared" si="119"/>
        <v>919500</v>
      </c>
      <c r="T869" s="144">
        <f t="shared" si="119"/>
        <v>100000</v>
      </c>
      <c r="U869" s="144">
        <f t="shared" si="119"/>
        <v>0</v>
      </c>
      <c r="V869" s="144">
        <f t="shared" si="119"/>
        <v>0</v>
      </c>
      <c r="W869" s="144">
        <f t="shared" si="119"/>
        <v>609436</v>
      </c>
      <c r="X869" s="60">
        <f t="shared" si="118"/>
        <v>819500</v>
      </c>
    </row>
    <row r="870" spans="2:24" ht="15.75">
      <c r="B870" s="308" t="s">
        <v>251</v>
      </c>
      <c r="C870" s="308" t="s">
        <v>817</v>
      </c>
      <c r="D870" s="304" t="s">
        <v>165</v>
      </c>
      <c r="E870" s="42"/>
      <c r="F870" s="57"/>
      <c r="G870" s="61"/>
      <c r="H870" s="214"/>
      <c r="I870" s="247"/>
      <c r="J870" s="210">
        <f>SUM(J871:J873)</f>
        <v>309436</v>
      </c>
      <c r="K870" s="210">
        <f aca="true" t="shared" si="120" ref="K870:W870">SUM(K871:K873)</f>
        <v>0</v>
      </c>
      <c r="L870" s="210">
        <f t="shared" si="120"/>
        <v>0</v>
      </c>
      <c r="M870" s="210">
        <f t="shared" si="120"/>
        <v>309436</v>
      </c>
      <c r="N870" s="210">
        <f t="shared" si="120"/>
        <v>0</v>
      </c>
      <c r="O870" s="210">
        <f t="shared" si="120"/>
        <v>0</v>
      </c>
      <c r="P870" s="210">
        <f t="shared" si="120"/>
        <v>0</v>
      </c>
      <c r="Q870" s="210">
        <f t="shared" si="120"/>
        <v>0</v>
      </c>
      <c r="R870" s="210">
        <f t="shared" si="120"/>
        <v>0</v>
      </c>
      <c r="S870" s="210">
        <f t="shared" si="120"/>
        <v>0</v>
      </c>
      <c r="T870" s="210">
        <f t="shared" si="120"/>
        <v>0</v>
      </c>
      <c r="U870" s="210">
        <f t="shared" si="120"/>
        <v>0</v>
      </c>
      <c r="V870" s="210">
        <f t="shared" si="120"/>
        <v>0</v>
      </c>
      <c r="W870" s="210">
        <f t="shared" si="120"/>
        <v>309436</v>
      </c>
      <c r="X870" s="184">
        <f t="shared" si="118"/>
        <v>0</v>
      </c>
    </row>
    <row r="871" spans="2:24" ht="110.25">
      <c r="B871" s="325"/>
      <c r="C871" s="325"/>
      <c r="D871" s="292"/>
      <c r="E871" s="51" t="s">
        <v>916</v>
      </c>
      <c r="F871" s="57"/>
      <c r="G871" s="61"/>
      <c r="H871" s="214"/>
      <c r="I871" s="247">
        <v>3220</v>
      </c>
      <c r="J871" s="9">
        <v>281286</v>
      </c>
      <c r="K871" s="49"/>
      <c r="L871" s="9"/>
      <c r="M871" s="49">
        <v>281286</v>
      </c>
      <c r="N871" s="49"/>
      <c r="O871" s="49"/>
      <c r="P871" s="49"/>
      <c r="Q871" s="49"/>
      <c r="R871" s="49"/>
      <c r="S871" s="49"/>
      <c r="T871" s="49"/>
      <c r="U871" s="49"/>
      <c r="V871" s="49"/>
      <c r="W871" s="49">
        <v>281286</v>
      </c>
      <c r="X871" s="40">
        <f t="shared" si="118"/>
        <v>0</v>
      </c>
    </row>
    <row r="872" spans="2:24" ht="78.75">
      <c r="B872" s="325"/>
      <c r="C872" s="325"/>
      <c r="D872" s="292"/>
      <c r="E872" s="51" t="s">
        <v>844</v>
      </c>
      <c r="F872" s="57"/>
      <c r="G872" s="61"/>
      <c r="H872" s="214"/>
      <c r="I872" s="247">
        <v>3220</v>
      </c>
      <c r="J872" s="9">
        <v>5039</v>
      </c>
      <c r="K872" s="49"/>
      <c r="L872" s="9"/>
      <c r="M872" s="9">
        <v>5039</v>
      </c>
      <c r="N872" s="49"/>
      <c r="O872" s="9"/>
      <c r="P872" s="49"/>
      <c r="Q872" s="49"/>
      <c r="R872" s="49"/>
      <c r="S872" s="49"/>
      <c r="T872" s="49"/>
      <c r="U872" s="49"/>
      <c r="V872" s="49"/>
      <c r="W872" s="49">
        <v>5039</v>
      </c>
      <c r="X872" s="40">
        <f t="shared" si="118"/>
        <v>0</v>
      </c>
    </row>
    <row r="873" spans="2:24" ht="110.25">
      <c r="B873" s="309"/>
      <c r="C873" s="309"/>
      <c r="D873" s="305"/>
      <c r="E873" s="51" t="s">
        <v>189</v>
      </c>
      <c r="F873" s="57"/>
      <c r="G873" s="61"/>
      <c r="H873" s="214"/>
      <c r="I873" s="247">
        <v>3220</v>
      </c>
      <c r="J873" s="9">
        <v>23111</v>
      </c>
      <c r="K873" s="49"/>
      <c r="L873" s="49"/>
      <c r="M873" s="9">
        <v>23111</v>
      </c>
      <c r="N873" s="49"/>
      <c r="O873" s="49"/>
      <c r="P873" s="49"/>
      <c r="Q873" s="49"/>
      <c r="R873" s="49"/>
      <c r="S873" s="49"/>
      <c r="T873" s="49"/>
      <c r="U873" s="49"/>
      <c r="V873" s="49"/>
      <c r="W873" s="49">
        <v>23111</v>
      </c>
      <c r="X873" s="40">
        <f t="shared" si="118"/>
        <v>0</v>
      </c>
    </row>
    <row r="874" spans="2:24" ht="15.75">
      <c r="B874" s="308" t="s">
        <v>155</v>
      </c>
      <c r="C874" s="308" t="s">
        <v>817</v>
      </c>
      <c r="D874" s="304" t="s">
        <v>629</v>
      </c>
      <c r="E874" s="42"/>
      <c r="F874" s="57"/>
      <c r="G874" s="61"/>
      <c r="H874" s="214"/>
      <c r="I874" s="247"/>
      <c r="J874" s="210">
        <f>J875</f>
        <v>200000</v>
      </c>
      <c r="K874" s="210">
        <f aca="true" t="shared" si="121" ref="K874:W874">K875</f>
        <v>0</v>
      </c>
      <c r="L874" s="210">
        <f t="shared" si="121"/>
        <v>0</v>
      </c>
      <c r="M874" s="210">
        <f t="shared" si="121"/>
        <v>0</v>
      </c>
      <c r="N874" s="210">
        <f t="shared" si="121"/>
        <v>0</v>
      </c>
      <c r="O874" s="210">
        <f t="shared" si="121"/>
        <v>0</v>
      </c>
      <c r="P874" s="210">
        <f t="shared" si="121"/>
        <v>0</v>
      </c>
      <c r="Q874" s="210">
        <f t="shared" si="121"/>
        <v>0</v>
      </c>
      <c r="R874" s="210">
        <f t="shared" si="121"/>
        <v>100000</v>
      </c>
      <c r="S874" s="210">
        <f t="shared" si="121"/>
        <v>0</v>
      </c>
      <c r="T874" s="210">
        <f t="shared" si="121"/>
        <v>100000</v>
      </c>
      <c r="U874" s="210">
        <f t="shared" si="121"/>
        <v>0</v>
      </c>
      <c r="V874" s="210">
        <f t="shared" si="121"/>
        <v>0</v>
      </c>
      <c r="W874" s="210">
        <f t="shared" si="121"/>
        <v>0</v>
      </c>
      <c r="X874" s="184">
        <f t="shared" si="118"/>
        <v>200000</v>
      </c>
    </row>
    <row r="875" spans="2:24" ht="94.5">
      <c r="B875" s="309"/>
      <c r="C875" s="309"/>
      <c r="D875" s="305"/>
      <c r="E875" s="42" t="s">
        <v>484</v>
      </c>
      <c r="F875" s="57"/>
      <c r="G875" s="61"/>
      <c r="H875" s="214"/>
      <c r="I875" s="247">
        <v>3220</v>
      </c>
      <c r="J875" s="9">
        <v>200000</v>
      </c>
      <c r="K875" s="49"/>
      <c r="L875" s="49"/>
      <c r="M875" s="49"/>
      <c r="N875" s="49"/>
      <c r="O875" s="49"/>
      <c r="P875" s="49"/>
      <c r="Q875" s="49"/>
      <c r="R875" s="49">
        <v>100000</v>
      </c>
      <c r="S875" s="49"/>
      <c r="T875" s="49">
        <v>100000</v>
      </c>
      <c r="U875" s="49"/>
      <c r="V875" s="49"/>
      <c r="W875" s="49"/>
      <c r="X875" s="40">
        <f t="shared" si="118"/>
        <v>200000</v>
      </c>
    </row>
    <row r="876" spans="2:24" ht="15.75">
      <c r="B876" s="326" t="s">
        <v>788</v>
      </c>
      <c r="C876" s="326" t="s">
        <v>817</v>
      </c>
      <c r="D876" s="291" t="s">
        <v>789</v>
      </c>
      <c r="E876" s="42"/>
      <c r="F876" s="57"/>
      <c r="G876" s="61"/>
      <c r="H876" s="214"/>
      <c r="I876" s="247"/>
      <c r="J876" s="210">
        <f>SUM(J877:J878)</f>
        <v>919500</v>
      </c>
      <c r="K876" s="210">
        <f aca="true" t="shared" si="122" ref="K876:W876">SUM(K877:K878)</f>
        <v>0</v>
      </c>
      <c r="L876" s="210">
        <f t="shared" si="122"/>
        <v>0</v>
      </c>
      <c r="M876" s="210">
        <f t="shared" si="122"/>
        <v>0</v>
      </c>
      <c r="N876" s="210">
        <f t="shared" si="122"/>
        <v>0</v>
      </c>
      <c r="O876" s="210">
        <f t="shared" si="122"/>
        <v>0</v>
      </c>
      <c r="P876" s="210">
        <f t="shared" si="122"/>
        <v>0</v>
      </c>
      <c r="Q876" s="210">
        <f t="shared" si="122"/>
        <v>0</v>
      </c>
      <c r="R876" s="210">
        <f t="shared" si="122"/>
        <v>0</v>
      </c>
      <c r="S876" s="210">
        <f t="shared" si="122"/>
        <v>919500</v>
      </c>
      <c r="T876" s="210">
        <f t="shared" si="122"/>
        <v>0</v>
      </c>
      <c r="U876" s="210">
        <f t="shared" si="122"/>
        <v>0</v>
      </c>
      <c r="V876" s="210">
        <f t="shared" si="122"/>
        <v>0</v>
      </c>
      <c r="W876" s="210">
        <f t="shared" si="122"/>
        <v>300000</v>
      </c>
      <c r="X876" s="184">
        <f t="shared" si="118"/>
        <v>619500</v>
      </c>
    </row>
    <row r="877" spans="2:24" ht="47.25">
      <c r="B877" s="325"/>
      <c r="C877" s="325"/>
      <c r="D877" s="292"/>
      <c r="E877" s="51" t="s">
        <v>790</v>
      </c>
      <c r="F877" s="57"/>
      <c r="G877" s="61"/>
      <c r="H877" s="214"/>
      <c r="I877" s="247">
        <v>3220</v>
      </c>
      <c r="J877" s="9">
        <v>300000</v>
      </c>
      <c r="K877" s="49"/>
      <c r="L877" s="49"/>
      <c r="M877" s="49"/>
      <c r="N877" s="49"/>
      <c r="O877" s="49"/>
      <c r="P877" s="49"/>
      <c r="Q877" s="49"/>
      <c r="R877" s="49"/>
      <c r="S877" s="49">
        <v>300000</v>
      </c>
      <c r="T877" s="49"/>
      <c r="U877" s="49">
        <f>300000-300000</f>
        <v>0</v>
      </c>
      <c r="V877" s="49"/>
      <c r="W877" s="49">
        <v>300000</v>
      </c>
      <c r="X877" s="40">
        <f t="shared" si="118"/>
        <v>0</v>
      </c>
    </row>
    <row r="878" spans="2:24" ht="78.75">
      <c r="B878" s="327"/>
      <c r="C878" s="327"/>
      <c r="D878" s="293"/>
      <c r="E878" s="51" t="s">
        <v>791</v>
      </c>
      <c r="F878" s="57"/>
      <c r="G878" s="61"/>
      <c r="H878" s="214"/>
      <c r="I878" s="247">
        <v>3220</v>
      </c>
      <c r="J878" s="9">
        <v>619500</v>
      </c>
      <c r="K878" s="49"/>
      <c r="L878" s="49"/>
      <c r="M878" s="49"/>
      <c r="N878" s="49"/>
      <c r="O878" s="49"/>
      <c r="P878" s="49"/>
      <c r="Q878" s="49"/>
      <c r="R878" s="49"/>
      <c r="S878" s="49">
        <v>619500</v>
      </c>
      <c r="T878" s="49"/>
      <c r="U878" s="49"/>
      <c r="V878" s="49"/>
      <c r="W878" s="49"/>
      <c r="X878" s="40">
        <f t="shared" si="118"/>
        <v>619500</v>
      </c>
    </row>
    <row r="879" spans="2:24" ht="15.75">
      <c r="B879" s="188"/>
      <c r="C879" s="188"/>
      <c r="D879" s="190" t="s">
        <v>121</v>
      </c>
      <c r="E879" s="206"/>
      <c r="F879" s="43"/>
      <c r="G879" s="207"/>
      <c r="H879" s="244"/>
      <c r="I879" s="261"/>
      <c r="J879" s="43">
        <f aca="true" t="shared" si="123" ref="J879:W879">J17+J39+J391+J514+J532+J677+J849+J33+J869+J864</f>
        <v>244546160.99</v>
      </c>
      <c r="K879" s="43">
        <f t="shared" si="123"/>
        <v>0</v>
      </c>
      <c r="L879" s="43">
        <f t="shared" si="123"/>
        <v>13428009.65</v>
      </c>
      <c r="M879" s="43">
        <f t="shared" si="123"/>
        <v>1472254.6800000002</v>
      </c>
      <c r="N879" s="43">
        <f t="shared" si="123"/>
        <v>93800</v>
      </c>
      <c r="O879" s="43">
        <f t="shared" si="123"/>
        <v>17624370.47</v>
      </c>
      <c r="P879" s="43">
        <f t="shared" si="123"/>
        <v>17943941.51</v>
      </c>
      <c r="Q879" s="43">
        <f t="shared" si="123"/>
        <v>37758702.190000005</v>
      </c>
      <c r="R879" s="43">
        <f t="shared" si="123"/>
        <v>54010938.45999999</v>
      </c>
      <c r="S879" s="43">
        <f t="shared" si="123"/>
        <v>75587481.97</v>
      </c>
      <c r="T879" s="43">
        <f t="shared" si="123"/>
        <v>16604677.86</v>
      </c>
      <c r="U879" s="43">
        <f t="shared" si="123"/>
        <v>4263712.2</v>
      </c>
      <c r="V879" s="43">
        <f t="shared" si="123"/>
        <v>5758272</v>
      </c>
      <c r="W879" s="43">
        <f t="shared" si="123"/>
        <v>93410249.85</v>
      </c>
      <c r="X879" s="60">
        <f t="shared" si="118"/>
        <v>141113926.93999997</v>
      </c>
    </row>
    <row r="880" spans="2:24" ht="126">
      <c r="B880" s="174">
        <v>180411</v>
      </c>
      <c r="C880" s="174"/>
      <c r="D880" s="174" t="s">
        <v>614</v>
      </c>
      <c r="E880" s="174" t="s">
        <v>506</v>
      </c>
      <c r="F880" s="173"/>
      <c r="G880" s="208"/>
      <c r="H880" s="173"/>
      <c r="I880" s="262">
        <v>4112</v>
      </c>
      <c r="J880" s="176">
        <f>60118564.8-1418811-44730701</f>
        <v>13969052.799999997</v>
      </c>
      <c r="K880" s="177"/>
      <c r="L880" s="177">
        <v>20058467.86</v>
      </c>
      <c r="M880" s="177">
        <v>13203976.79</v>
      </c>
      <c r="N880" s="177">
        <v>6906813.9</v>
      </c>
      <c r="O880" s="177"/>
      <c r="P880" s="177"/>
      <c r="Q880" s="177"/>
      <c r="R880" s="177">
        <v>-1418811</v>
      </c>
      <c r="S880" s="177">
        <f>13054886.75-44730701</f>
        <v>-31675814.25</v>
      </c>
      <c r="T880" s="177">
        <v>6894419.5</v>
      </c>
      <c r="U880" s="177"/>
      <c r="V880" s="177"/>
      <c r="W880" s="177"/>
      <c r="X880" s="40">
        <f t="shared" si="118"/>
        <v>13969052.799999997</v>
      </c>
    </row>
    <row r="881" spans="2:24" ht="15.75">
      <c r="B881" s="322" t="s">
        <v>618</v>
      </c>
      <c r="C881" s="323"/>
      <c r="D881" s="324"/>
      <c r="E881" s="175"/>
      <c r="F881" s="173"/>
      <c r="G881" s="208"/>
      <c r="H881" s="173"/>
      <c r="I881" s="261"/>
      <c r="J881" s="60">
        <f>J879+J880</f>
        <v>258515213.79000002</v>
      </c>
      <c r="K881" s="60">
        <f aca="true" t="shared" si="124" ref="K881:W881">K879+K880</f>
        <v>0</v>
      </c>
      <c r="L881" s="60">
        <f t="shared" si="124"/>
        <v>33486477.509999998</v>
      </c>
      <c r="M881" s="60">
        <f t="shared" si="124"/>
        <v>14676231.469999999</v>
      </c>
      <c r="N881" s="60">
        <f t="shared" si="124"/>
        <v>7000613.9</v>
      </c>
      <c r="O881" s="60">
        <f t="shared" si="124"/>
        <v>17624370.47</v>
      </c>
      <c r="P881" s="60">
        <f t="shared" si="124"/>
        <v>17943941.51</v>
      </c>
      <c r="Q881" s="60">
        <f t="shared" si="124"/>
        <v>37758702.190000005</v>
      </c>
      <c r="R881" s="60">
        <f t="shared" si="124"/>
        <v>52592127.45999999</v>
      </c>
      <c r="S881" s="60">
        <f t="shared" si="124"/>
        <v>43911667.72</v>
      </c>
      <c r="T881" s="60">
        <f t="shared" si="124"/>
        <v>23499097.36</v>
      </c>
      <c r="U881" s="60">
        <f t="shared" si="124"/>
        <v>4263712.2</v>
      </c>
      <c r="V881" s="60">
        <f t="shared" si="124"/>
        <v>5758272</v>
      </c>
      <c r="W881" s="60">
        <f t="shared" si="124"/>
        <v>93410249.85</v>
      </c>
      <c r="X881" s="60">
        <f t="shared" si="118"/>
        <v>155082979.73999998</v>
      </c>
    </row>
  </sheetData>
  <sheetProtection/>
  <mergeCells count="195">
    <mergeCell ref="B373:B390"/>
    <mergeCell ref="C373:C390"/>
    <mergeCell ref="B392:B446"/>
    <mergeCell ref="C392:C446"/>
    <mergeCell ref="C268:C280"/>
    <mergeCell ref="B284:B287"/>
    <mergeCell ref="C326:C342"/>
    <mergeCell ref="C352:C365"/>
    <mergeCell ref="B352:B365"/>
    <mergeCell ref="B296:B300"/>
    <mergeCell ref="B324:B325"/>
    <mergeCell ref="B326:B342"/>
    <mergeCell ref="B288:B295"/>
    <mergeCell ref="C288:C295"/>
    <mergeCell ref="C284:C287"/>
    <mergeCell ref="B366:B372"/>
    <mergeCell ref="B9:I9"/>
    <mergeCell ref="B850:B851"/>
    <mergeCell ref="C850:C851"/>
    <mergeCell ref="D850:D851"/>
    <mergeCell ref="B301:B323"/>
    <mergeCell ref="D301:D323"/>
    <mergeCell ref="B346:B351"/>
    <mergeCell ref="C346:C351"/>
    <mergeCell ref="B678:B680"/>
    <mergeCell ref="B40:B151"/>
    <mergeCell ref="B2:I2"/>
    <mergeCell ref="B13:I13"/>
    <mergeCell ref="B12:I12"/>
    <mergeCell ref="B3:I3"/>
    <mergeCell ref="B4:I4"/>
    <mergeCell ref="B5:I5"/>
    <mergeCell ref="B6:I6"/>
    <mergeCell ref="B10:I10"/>
    <mergeCell ref="B11:I11"/>
    <mergeCell ref="B7:I7"/>
    <mergeCell ref="I585:I586"/>
    <mergeCell ref="D288:D295"/>
    <mergeCell ref="C301:C323"/>
    <mergeCell ref="D366:D372"/>
    <mergeCell ref="C366:C372"/>
    <mergeCell ref="D346:D351"/>
    <mergeCell ref="C296:C300"/>
    <mergeCell ref="D296:D300"/>
    <mergeCell ref="C40:C151"/>
    <mergeCell ref="D17:E17"/>
    <mergeCell ref="B18:B28"/>
    <mergeCell ref="D18:D28"/>
    <mergeCell ref="D33:E33"/>
    <mergeCell ref="B473:B504"/>
    <mergeCell ref="D473:D504"/>
    <mergeCell ref="B152:B267"/>
    <mergeCell ref="C152:C267"/>
    <mergeCell ref="B268:B280"/>
    <mergeCell ref="B343:B345"/>
    <mergeCell ref="C343:C345"/>
    <mergeCell ref="D324:D325"/>
    <mergeCell ref="C281:C283"/>
    <mergeCell ref="B281:B283"/>
    <mergeCell ref="D391:E391"/>
    <mergeCell ref="B515:B521"/>
    <mergeCell ref="C515:C521"/>
    <mergeCell ref="D515:D521"/>
    <mergeCell ref="B510:B513"/>
    <mergeCell ref="C510:C513"/>
    <mergeCell ref="D510:D513"/>
    <mergeCell ref="B447:B472"/>
    <mergeCell ref="C447:C472"/>
    <mergeCell ref="D447:D472"/>
    <mergeCell ref="B522:B523"/>
    <mergeCell ref="C522:C523"/>
    <mergeCell ref="D522:D523"/>
    <mergeCell ref="B524:B531"/>
    <mergeCell ref="C524:C531"/>
    <mergeCell ref="D524:D531"/>
    <mergeCell ref="B535:B552"/>
    <mergeCell ref="C535:C552"/>
    <mergeCell ref="D535:D552"/>
    <mergeCell ref="B533:B534"/>
    <mergeCell ref="C533:C534"/>
    <mergeCell ref="D533:D534"/>
    <mergeCell ref="B553:B555"/>
    <mergeCell ref="C553:C555"/>
    <mergeCell ref="D553:D555"/>
    <mergeCell ref="B556:B575"/>
    <mergeCell ref="C556:C575"/>
    <mergeCell ref="D556:D575"/>
    <mergeCell ref="B576:B578"/>
    <mergeCell ref="C576:C578"/>
    <mergeCell ref="D576:D578"/>
    <mergeCell ref="B579:B608"/>
    <mergeCell ref="C579:C608"/>
    <mergeCell ref="D579:D608"/>
    <mergeCell ref="B609:B659"/>
    <mergeCell ref="C609:C659"/>
    <mergeCell ref="D609:D659"/>
    <mergeCell ref="B660:B661"/>
    <mergeCell ref="C660:C661"/>
    <mergeCell ref="D660:D661"/>
    <mergeCell ref="D662:D665"/>
    <mergeCell ref="B666:B668"/>
    <mergeCell ref="C666:C668"/>
    <mergeCell ref="D666:D668"/>
    <mergeCell ref="C662:C665"/>
    <mergeCell ref="D864:E864"/>
    <mergeCell ref="B681:B686"/>
    <mergeCell ref="C681:C686"/>
    <mergeCell ref="D681:D686"/>
    <mergeCell ref="B687:B700"/>
    <mergeCell ref="C687:C700"/>
    <mergeCell ref="D687:D700"/>
    <mergeCell ref="C766:C771"/>
    <mergeCell ref="D766:D771"/>
    <mergeCell ref="B772:B823"/>
    <mergeCell ref="B701:B702"/>
    <mergeCell ref="C701:C702"/>
    <mergeCell ref="D701:D702"/>
    <mergeCell ref="B703:B704"/>
    <mergeCell ref="C703:C704"/>
    <mergeCell ref="D703:D704"/>
    <mergeCell ref="B824:B828"/>
    <mergeCell ref="C824:C828"/>
    <mergeCell ref="D824:D828"/>
    <mergeCell ref="B714:B765"/>
    <mergeCell ref="C714:C765"/>
    <mergeCell ref="D714:D765"/>
    <mergeCell ref="B766:B771"/>
    <mergeCell ref="D373:D390"/>
    <mergeCell ref="D268:D280"/>
    <mergeCell ref="D326:D342"/>
    <mergeCell ref="D39:E39"/>
    <mergeCell ref="D40:D151"/>
    <mergeCell ref="D152:D267"/>
    <mergeCell ref="D343:D345"/>
    <mergeCell ref="D284:D287"/>
    <mergeCell ref="E585:E586"/>
    <mergeCell ref="D281:D283"/>
    <mergeCell ref="C473:C504"/>
    <mergeCell ref="D678:D680"/>
    <mergeCell ref="C678:C680"/>
    <mergeCell ref="D352:D365"/>
    <mergeCell ref="C324:C325"/>
    <mergeCell ref="E500:E501"/>
    <mergeCell ref="D392:D446"/>
    <mergeCell ref="D514:E514"/>
    <mergeCell ref="B881:D881"/>
    <mergeCell ref="B874:B875"/>
    <mergeCell ref="C870:C873"/>
    <mergeCell ref="D870:D873"/>
    <mergeCell ref="B870:B873"/>
    <mergeCell ref="D876:D878"/>
    <mergeCell ref="D874:D875"/>
    <mergeCell ref="B876:B878"/>
    <mergeCell ref="C876:C878"/>
    <mergeCell ref="B14:I14"/>
    <mergeCell ref="C18:C28"/>
    <mergeCell ref="B34:B38"/>
    <mergeCell ref="C34:C38"/>
    <mergeCell ref="D29:D32"/>
    <mergeCell ref="C29:C32"/>
    <mergeCell ref="B29:B32"/>
    <mergeCell ref="D34:D38"/>
    <mergeCell ref="B829:B848"/>
    <mergeCell ref="C874:C875"/>
    <mergeCell ref="B674:B676"/>
    <mergeCell ref="C674:C676"/>
    <mergeCell ref="B852:B863"/>
    <mergeCell ref="B705:B709"/>
    <mergeCell ref="C772:C823"/>
    <mergeCell ref="C705:C709"/>
    <mergeCell ref="B710:B713"/>
    <mergeCell ref="C710:C713"/>
    <mergeCell ref="D869:E869"/>
    <mergeCell ref="B865:B868"/>
    <mergeCell ref="C865:C868"/>
    <mergeCell ref="D865:D868"/>
    <mergeCell ref="D677:E677"/>
    <mergeCell ref="C829:C848"/>
    <mergeCell ref="D829:D848"/>
    <mergeCell ref="C852:C863"/>
    <mergeCell ref="D852:D863"/>
    <mergeCell ref="D849:E849"/>
    <mergeCell ref="D772:D823"/>
    <mergeCell ref="D705:D709"/>
    <mergeCell ref="D710:D713"/>
    <mergeCell ref="B8:I8"/>
    <mergeCell ref="D674:D676"/>
    <mergeCell ref="D505:D509"/>
    <mergeCell ref="C505:C509"/>
    <mergeCell ref="B505:B509"/>
    <mergeCell ref="D532:E532"/>
    <mergeCell ref="B669:B673"/>
    <mergeCell ref="C669:C673"/>
    <mergeCell ref="D669:D673"/>
    <mergeCell ref="B662:B665"/>
  </mergeCells>
  <printOptions horizontalCentered="1"/>
  <pageMargins left="0.4330708661417323" right="0" top="0.31496062992125984" bottom="0.31496062992125984" header="0.2362204724409449" footer="0.1968503937007874"/>
  <pageSetup fitToHeight="21" horizontalDpi="600" verticalDpi="600" orientation="portrait" paperSize="9" scale="55" r:id="rId1"/>
  <headerFooter alignWithMargins="0">
    <oddFooter>&amp;R&amp;P</oddFooter>
  </headerFooter>
  <rowBreaks count="1" manualBreakCount="1">
    <brk id="67"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fmg4</cp:lastModifiedBy>
  <cp:lastPrinted>2015-08-20T05:40:47Z</cp:lastPrinted>
  <dcterms:created xsi:type="dcterms:W3CDTF">2014-01-17T10:52:16Z</dcterms:created>
  <dcterms:modified xsi:type="dcterms:W3CDTF">2015-10-30T11:42:56Z</dcterms:modified>
  <cp:category/>
  <cp:version/>
  <cp:contentType/>
  <cp:contentStatus/>
</cp:coreProperties>
</file>